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5" windowWidth="9645" windowHeight="9075" tabRatio="929" activeTab="2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E25" i="36"/>
  <c r="E24" s="1"/>
  <c r="D25"/>
  <c r="D24" s="1"/>
  <c r="D85" i="21"/>
  <c r="G85"/>
  <c r="I85" s="1"/>
  <c r="H18"/>
  <c r="H13"/>
  <c r="G13"/>
  <c r="I13" s="1"/>
  <c r="E18"/>
  <c r="D18"/>
  <c r="E13"/>
  <c r="F39" i="29"/>
  <c r="F40" s="1"/>
  <c r="E39"/>
  <c r="E40" s="1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15" i="29"/>
  <c r="E15"/>
  <c r="E14"/>
  <c r="F32"/>
  <c r="E32"/>
  <c r="F34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2"/>
  <c r="G23"/>
  <c r="G22" s="1"/>
  <c r="H23"/>
  <c r="H24" s="1"/>
  <c r="I23"/>
  <c r="I24" s="1"/>
  <c r="J23"/>
  <c r="J22"/>
  <c r="K23"/>
  <c r="K24" s="1"/>
  <c r="L23"/>
  <c r="L22"/>
  <c r="M23"/>
  <c r="M22" s="1"/>
  <c r="N23"/>
  <c r="N22" s="1"/>
  <c r="O23"/>
  <c r="O24" s="1"/>
  <c r="O22"/>
  <c r="P23"/>
  <c r="P22"/>
  <c r="E23"/>
  <c r="E24" s="1"/>
  <c r="L24"/>
  <c r="F24"/>
  <c r="D26"/>
  <c r="D25"/>
  <c r="F28"/>
  <c r="F29"/>
  <c r="G28"/>
  <c r="H28"/>
  <c r="H29" s="1"/>
  <c r="I28"/>
  <c r="I29" s="1"/>
  <c r="J28"/>
  <c r="J29" s="1"/>
  <c r="K28"/>
  <c r="K29" s="1"/>
  <c r="L28"/>
  <c r="L29" s="1"/>
  <c r="M28"/>
  <c r="M29" s="1"/>
  <c r="N28"/>
  <c r="N29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57" s="1"/>
  <c r="D23" i="44"/>
  <c r="A20"/>
  <c r="D25"/>
  <c r="D26"/>
  <c r="D22"/>
  <c r="A6"/>
  <c r="G40"/>
  <c r="B40"/>
  <c r="D9"/>
  <c r="D10"/>
  <c r="D8"/>
  <c r="P19" i="34"/>
  <c r="O19"/>
  <c r="N19"/>
  <c r="M19"/>
  <c r="L19"/>
  <c r="K19"/>
  <c r="J19"/>
  <c r="I19"/>
  <c r="H19"/>
  <c r="D19" s="1"/>
  <c r="G19"/>
  <c r="F19"/>
  <c r="E19"/>
  <c r="E33" i="25"/>
  <c r="E32"/>
  <c r="E37"/>
  <c r="E35" s="1"/>
  <c r="D37"/>
  <c r="D35" s="1"/>
  <c r="D66" i="36"/>
  <c r="F66"/>
  <c r="D65"/>
  <c r="F65"/>
  <c r="H72"/>
  <c r="B56" i="24"/>
  <c r="D84" i="21" s="1"/>
  <c r="F84" s="1"/>
  <c r="B55" i="24"/>
  <c r="B39"/>
  <c r="B38"/>
  <c r="F56"/>
  <c r="E56"/>
  <c r="H62" i="21"/>
  <c r="H61" s="1"/>
  <c r="E18" i="25" s="1"/>
  <c r="E62" i="21"/>
  <c r="E61" s="1"/>
  <c r="D18" i="25" s="1"/>
  <c r="G65" i="21"/>
  <c r="I65" s="1"/>
  <c r="G66"/>
  <c r="I66" s="1"/>
  <c r="G67"/>
  <c r="I67" s="1"/>
  <c r="G68"/>
  <c r="I68" s="1"/>
  <c r="D65"/>
  <c r="F65" s="1"/>
  <c r="D66"/>
  <c r="D67"/>
  <c r="F67" s="1"/>
  <c r="D68"/>
  <c r="F68" s="1"/>
  <c r="F64"/>
  <c r="G74"/>
  <c r="I74"/>
  <c r="F11" i="24"/>
  <c r="E11"/>
  <c r="F55"/>
  <c r="G81" i="21" s="1"/>
  <c r="I81" s="1"/>
  <c r="E55" i="24"/>
  <c r="D81" i="21"/>
  <c r="D79" s="1"/>
  <c r="F79" s="1"/>
  <c r="F38" i="24"/>
  <c r="E38"/>
  <c r="E93" s="1"/>
  <c r="G71" i="21"/>
  <c r="I71"/>
  <c r="G72"/>
  <c r="I72" s="1"/>
  <c r="G73"/>
  <c r="I73"/>
  <c r="B74"/>
  <c r="G70"/>
  <c r="I70" s="1"/>
  <c r="D71"/>
  <c r="F71" s="1"/>
  <c r="D72"/>
  <c r="F72" s="1"/>
  <c r="D73"/>
  <c r="F73" s="1"/>
  <c r="D74"/>
  <c r="F74" s="1"/>
  <c r="D70"/>
  <c r="F32" i="24"/>
  <c r="F23" i="29" s="1"/>
  <c r="E32" i="24"/>
  <c r="F49"/>
  <c r="F57" s="1"/>
  <c r="E49"/>
  <c r="E48"/>
  <c r="D33" i="25"/>
  <c r="E10" i="24"/>
  <c r="E22" s="1"/>
  <c r="D32" i="25"/>
  <c r="F29" i="24"/>
  <c r="E29"/>
  <c r="F69"/>
  <c r="F71"/>
  <c r="F72"/>
  <c r="F73"/>
  <c r="F74"/>
  <c r="E71"/>
  <c r="E69" s="1"/>
  <c r="E72"/>
  <c r="E73"/>
  <c r="E74"/>
  <c r="E70"/>
  <c r="F64"/>
  <c r="E61"/>
  <c r="E14"/>
  <c r="F14"/>
  <c r="E6"/>
  <c r="D6" i="25"/>
  <c r="D28" s="1"/>
  <c r="F6" i="24"/>
  <c r="E6" i="25" s="1"/>
  <c r="F24" i="24"/>
  <c r="E24"/>
  <c r="K19" i="42"/>
  <c r="I19"/>
  <c r="J19"/>
  <c r="J27"/>
  <c r="F19"/>
  <c r="G19"/>
  <c r="E19"/>
  <c r="D19" s="1"/>
  <c r="E27"/>
  <c r="D7"/>
  <c r="D9" s="1"/>
  <c r="D10" s="1"/>
  <c r="D6"/>
  <c r="K10"/>
  <c r="J35"/>
  <c r="K35"/>
  <c r="E10"/>
  <c r="F10"/>
  <c r="G10"/>
  <c r="H10"/>
  <c r="I10"/>
  <c r="J10"/>
  <c r="E9" i="34"/>
  <c r="F9"/>
  <c r="D9" s="1"/>
  <c r="G9"/>
  <c r="H9"/>
  <c r="I9"/>
  <c r="J9"/>
  <c r="K9"/>
  <c r="L9"/>
  <c r="M9"/>
  <c r="N9"/>
  <c r="O9"/>
  <c r="P9"/>
  <c r="D10"/>
  <c r="D11"/>
  <c r="E12"/>
  <c r="F12"/>
  <c r="D12" s="1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40" s="1"/>
  <c r="D31"/>
  <c r="D32"/>
  <c r="D34"/>
  <c r="D39"/>
  <c r="E41"/>
  <c r="F41"/>
  <c r="P41"/>
  <c r="D42"/>
  <c r="D45"/>
  <c r="D46"/>
  <c r="B4" i="29"/>
  <c r="E11"/>
  <c r="F14"/>
  <c r="E34"/>
  <c r="A52"/>
  <c r="D52"/>
  <c r="B53"/>
  <c r="E53"/>
  <c r="B3" i="25"/>
  <c r="D7"/>
  <c r="D12"/>
  <c r="E9" i="24" s="1"/>
  <c r="E7" i="25"/>
  <c r="E22" s="1"/>
  <c r="D51"/>
  <c r="D50" s="1"/>
  <c r="E51"/>
  <c r="D54"/>
  <c r="E54"/>
  <c r="A66"/>
  <c r="B67"/>
  <c r="D67"/>
  <c r="B84" i="24"/>
  <c r="B90"/>
  <c r="E96"/>
  <c r="F96"/>
  <c r="E102"/>
  <c r="A138"/>
  <c r="C138"/>
  <c r="B139"/>
  <c r="D139"/>
  <c r="F13" i="35"/>
  <c r="G15"/>
  <c r="G13"/>
  <c r="C29"/>
  <c r="E29"/>
  <c r="F29"/>
  <c r="F28" s="1"/>
  <c r="G30"/>
  <c r="G31"/>
  <c r="G29" s="1"/>
  <c r="G32"/>
  <c r="G33"/>
  <c r="C34"/>
  <c r="C28"/>
  <c r="E28" s="1"/>
  <c r="F34"/>
  <c r="G35"/>
  <c r="G34" s="1"/>
  <c r="G36"/>
  <c r="G37"/>
  <c r="G38"/>
  <c r="G39"/>
  <c r="G40"/>
  <c r="G41"/>
  <c r="G42"/>
  <c r="G43"/>
  <c r="A52"/>
  <c r="E52"/>
  <c r="B54"/>
  <c r="F54"/>
  <c r="D7" i="36"/>
  <c r="D64" s="1"/>
  <c r="F64" s="1"/>
  <c r="E7"/>
  <c r="E6" s="1"/>
  <c r="G7"/>
  <c r="G6" s="1"/>
  <c r="H7"/>
  <c r="H6" s="1"/>
  <c r="H73"/>
  <c r="I73" s="1"/>
  <c r="E44"/>
  <c r="D45"/>
  <c r="H70"/>
  <c r="I70" s="1"/>
  <c r="D47"/>
  <c r="D30"/>
  <c r="E30"/>
  <c r="E48"/>
  <c r="D31"/>
  <c r="D49" s="1"/>
  <c r="E31"/>
  <c r="E49" s="1"/>
  <c r="D32"/>
  <c r="D50" s="1"/>
  <c r="E32"/>
  <c r="D33"/>
  <c r="E33"/>
  <c r="E51"/>
  <c r="G68"/>
  <c r="I68" s="1"/>
  <c r="G43"/>
  <c r="G42"/>
  <c r="H43"/>
  <c r="H42"/>
  <c r="E47"/>
  <c r="D48"/>
  <c r="E50"/>
  <c r="D68"/>
  <c r="F68"/>
  <c r="F70"/>
  <c r="F71"/>
  <c r="H71"/>
  <c r="F72"/>
  <c r="F73"/>
  <c r="F74"/>
  <c r="H74"/>
  <c r="I74" s="1"/>
  <c r="D75"/>
  <c r="F75" s="1"/>
  <c r="E75"/>
  <c r="E76" s="1"/>
  <c r="F14" i="21"/>
  <c r="I14"/>
  <c r="F15"/>
  <c r="I15"/>
  <c r="F17"/>
  <c r="I17"/>
  <c r="F19"/>
  <c r="I19"/>
  <c r="F20"/>
  <c r="I20"/>
  <c r="F22"/>
  <c r="I22"/>
  <c r="F23"/>
  <c r="I23"/>
  <c r="D24"/>
  <c r="F24" s="1"/>
  <c r="E24"/>
  <c r="G24"/>
  <c r="H24"/>
  <c r="F25"/>
  <c r="I25"/>
  <c r="F26"/>
  <c r="I26"/>
  <c r="D27"/>
  <c r="E27"/>
  <c r="E11" s="1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85"/>
  <c r="F27" i="35"/>
  <c r="E50" i="25"/>
  <c r="D61" i="36"/>
  <c r="I80" i="21"/>
  <c r="B8" i="44"/>
  <c r="B22" s="1"/>
  <c r="P43" i="34"/>
  <c r="P44"/>
  <c r="D30"/>
  <c r="E22"/>
  <c r="D34" i="42"/>
  <c r="D39"/>
  <c r="E34" i="35"/>
  <c r="I27" i="42"/>
  <c r="I14"/>
  <c r="I22" i="34"/>
  <c r="D14" i="42"/>
  <c r="I24" i="21"/>
  <c r="F10" i="24"/>
  <c r="F22" s="1"/>
  <c r="F18" i="21"/>
  <c r="G61" i="36"/>
  <c r="G27" i="35"/>
  <c r="I71" i="36"/>
  <c r="G65"/>
  <c r="I65" s="1"/>
  <c r="K22" i="34"/>
  <c r="G75" i="36"/>
  <c r="P24" i="34"/>
  <c r="I18" i="21"/>
  <c r="F18" i="35"/>
  <c r="F21" s="1"/>
  <c r="E29" i="34"/>
  <c r="G66" i="36"/>
  <c r="I66"/>
  <c r="D51"/>
  <c r="D8" i="42"/>
  <c r="D4" s="1"/>
  <c r="H11" i="21"/>
  <c r="E17" i="25" s="1"/>
  <c r="F13" i="21"/>
  <c r="D46" i="42"/>
  <c r="D27"/>
  <c r="J24" i="34"/>
  <c r="D15"/>
  <c r="I63" i="21"/>
  <c r="I64"/>
  <c r="F94" i="24"/>
  <c r="F63"/>
  <c r="E31"/>
  <c r="E63"/>
  <c r="E21" i="29"/>
  <c r="H12" i="21"/>
  <c r="F80"/>
  <c r="F39" i="24"/>
  <c r="G83" i="21" s="1"/>
  <c r="E57" i="24"/>
  <c r="F37" i="44"/>
  <c r="E23" i="29"/>
  <c r="E39" i="24"/>
  <c r="E94" s="1"/>
  <c r="E44" i="25"/>
  <c r="E45" s="1"/>
  <c r="E23"/>
  <c r="E42"/>
  <c r="E43"/>
  <c r="D23"/>
  <c r="D24" s="1"/>
  <c r="E125" i="24"/>
  <c r="D41" i="25" s="1"/>
  <c r="D22"/>
  <c r="D21"/>
  <c r="D44"/>
  <c r="D45" s="1"/>
  <c r="D43"/>
  <c r="D42"/>
  <c r="G53" i="36"/>
  <c r="F21" i="24"/>
  <c r="F46"/>
  <c r="F8"/>
  <c r="D5" i="21"/>
  <c r="E7" i="29"/>
  <c r="A4" i="34"/>
  <c r="E4" s="1"/>
  <c r="D49" i="25"/>
  <c r="A12" i="44"/>
  <c r="A28" s="1"/>
  <c r="F4" i="34"/>
  <c r="L4"/>
  <c r="J4"/>
  <c r="F81" i="21"/>
  <c r="F21" i="29"/>
  <c r="F118" i="24"/>
  <c r="F18"/>
  <c r="F27" i="21"/>
  <c r="G11"/>
  <c r="I11" s="1"/>
  <c r="G18" i="35"/>
  <c r="G21"/>
  <c r="G17" i="36" l="1"/>
  <c r="D28" i="34"/>
  <c r="E42" i="36"/>
  <c r="G12" i="21"/>
  <c r="I12" s="1"/>
  <c r="I27"/>
  <c r="E61" i="25"/>
  <c r="E8" i="24"/>
  <c r="E27" i="29" s="1"/>
  <c r="E21" i="24"/>
  <c r="E18" s="1"/>
  <c r="F119"/>
  <c r="F121" s="1"/>
  <c r="F24" i="29"/>
  <c r="E16" i="25"/>
  <c r="G28" i="35"/>
  <c r="D34" i="25"/>
  <c r="D40"/>
  <c r="E9" i="21"/>
  <c r="E12"/>
  <c r="D17" i="25"/>
  <c r="D16" s="1"/>
  <c r="E10" i="21"/>
  <c r="E49" i="25"/>
  <c r="E28"/>
  <c r="D69" i="36"/>
  <c r="F67"/>
  <c r="I35" i="42"/>
  <c r="I23"/>
  <c r="I34"/>
  <c r="D35"/>
  <c r="D23"/>
  <c r="D42" i="36"/>
  <c r="E85" i="24"/>
  <c r="E68"/>
  <c r="F68"/>
  <c r="F85"/>
  <c r="H75" i="36"/>
  <c r="F120" i="24"/>
  <c r="F48"/>
  <c r="I4" i="34"/>
  <c r="F7" i="29"/>
  <c r="H10" i="21"/>
  <c r="D23" i="34"/>
  <c r="D22" s="1"/>
  <c r="D37" i="44"/>
  <c r="E37" s="1"/>
  <c r="D41" i="34"/>
  <c r="G35" i="36"/>
  <c r="I72"/>
  <c r="G67"/>
  <c r="D6"/>
  <c r="D17" s="1"/>
  <c r="E12" i="25"/>
  <c r="E11" s="1"/>
  <c r="G84" i="21"/>
  <c r="I84" s="1"/>
  <c r="G29" i="34"/>
  <c r="D29" s="1"/>
  <c r="M24"/>
  <c r="E24" i="25"/>
  <c r="D11" i="21"/>
  <c r="G4" i="34"/>
  <c r="D11" i="25"/>
  <c r="D61"/>
  <c r="F93" i="24"/>
  <c r="P4" i="34"/>
  <c r="E21" i="25"/>
  <c r="N24" i="34"/>
  <c r="G24"/>
  <c r="D24" s="1"/>
  <c r="D63" i="21"/>
  <c r="F31" i="24"/>
  <c r="O4" i="34"/>
  <c r="N4"/>
  <c r="E24" i="29"/>
  <c r="H22" i="34"/>
  <c r="D69" i="21"/>
  <c r="F69" s="1"/>
  <c r="M4" i="34"/>
  <c r="H4"/>
  <c r="K4"/>
  <c r="G5" i="21"/>
  <c r="D83"/>
  <c r="D82" s="1"/>
  <c r="F82" s="1"/>
  <c r="F63"/>
  <c r="G82"/>
  <c r="I82" s="1"/>
  <c r="I83"/>
  <c r="E19" i="24"/>
  <c r="E47"/>
  <c r="F19"/>
  <c r="F47"/>
  <c r="F45" s="1"/>
  <c r="F20"/>
  <c r="F17" s="1"/>
  <c r="F70" i="21"/>
  <c r="E20" i="24"/>
  <c r="F66" i="21"/>
  <c r="F125" i="24"/>
  <c r="E41" i="25" s="1"/>
  <c r="G69" i="21"/>
  <c r="F27" i="29"/>
  <c r="F108" i="24" s="1"/>
  <c r="F115" s="1"/>
  <c r="D53" i="36" l="1"/>
  <c r="E106" i="24"/>
  <c r="F69" i="36"/>
  <c r="D76"/>
  <c r="D62" i="21"/>
  <c r="F62" s="1"/>
  <c r="I75" i="36"/>
  <c r="H76"/>
  <c r="H9" i="21" s="1"/>
  <c r="F11"/>
  <c r="E108" i="24"/>
  <c r="D12" i="21"/>
  <c r="F12" s="1"/>
  <c r="D15" i="25"/>
  <c r="D14" s="1"/>
  <c r="E8" i="21"/>
  <c r="I67" i="36"/>
  <c r="D35"/>
  <c r="G64"/>
  <c r="I64" s="1"/>
  <c r="E46" i="24"/>
  <c r="E45" s="1"/>
  <c r="E20" i="29" s="1"/>
  <c r="E19" s="1"/>
  <c r="E41" i="24" s="1"/>
  <c r="E40" i="25"/>
  <c r="E34"/>
  <c r="E91" i="24"/>
  <c r="E92"/>
  <c r="E25" i="29"/>
  <c r="E26" s="1"/>
  <c r="E58" i="24"/>
  <c r="I69" i="21"/>
  <c r="G62"/>
  <c r="F20" i="29"/>
  <c r="F19" s="1"/>
  <c r="F41" i="24" s="1"/>
  <c r="F58"/>
  <c r="E17"/>
  <c r="G69" i="36" l="1"/>
  <c r="G76" s="1"/>
  <c r="E110" i="24"/>
  <c r="E115"/>
  <c r="F76" i="36"/>
  <c r="F9" i="21"/>
  <c r="F25" i="29"/>
  <c r="F26" s="1"/>
  <c r="F92" i="24"/>
  <c r="A38" i="36"/>
  <c r="A20"/>
  <c r="H8" i="21"/>
  <c r="E60" i="25" s="1"/>
  <c r="E15"/>
  <c r="E14" s="1"/>
  <c r="D61" i="21"/>
  <c r="F61" s="1"/>
  <c r="G61"/>
  <c r="I62"/>
  <c r="I69" i="36" l="1"/>
  <c r="A59" s="1"/>
  <c r="D10" i="21"/>
  <c r="D8" s="1"/>
  <c r="E120" i="24"/>
  <c r="E118"/>
  <c r="I9" i="21"/>
  <c r="I76" i="36"/>
  <c r="E113" i="24"/>
  <c r="G10" i="21"/>
  <c r="I61"/>
  <c r="F10" l="1"/>
  <c r="E119" i="24"/>
  <c r="E121" s="1"/>
  <c r="E122" s="1"/>
  <c r="I10" i="21"/>
  <c r="F114" i="24"/>
  <c r="G8" i="21"/>
  <c r="F8"/>
  <c r="E112" i="24"/>
  <c r="E111" s="1"/>
  <c r="E124" l="1"/>
  <c r="D20" i="25" s="1"/>
  <c r="D13" s="1"/>
  <c r="D60"/>
  <c r="E123" i="24"/>
  <c r="I8" i="21"/>
  <c r="E20" i="25"/>
  <c r="D19" l="1"/>
  <c r="E13"/>
  <c r="E19"/>
</calcChain>
</file>

<file path=xl/sharedStrings.xml><?xml version="1.0" encoding="utf-8"?>
<sst xmlns="http://schemas.openxmlformats.org/spreadsheetml/2006/main" count="1497" uniqueCount="772">
  <si>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</si>
  <si>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</si>
  <si>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</si>
  <si>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</si>
  <si>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</si>
  <si>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</si>
  <si>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</si>
  <si>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</si>
  <si>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</si>
  <si>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</si>
  <si>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</si>
  <si>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</si>
  <si>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</si>
  <si>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</si>
  <si>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</si>
  <si>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</si>
  <si>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</si>
  <si>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</si>
  <si>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</si>
  <si>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</si>
  <si>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</si>
  <si>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</si>
  <si>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</si>
  <si>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</si>
  <si>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</si>
  <si>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</si>
  <si>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</si>
  <si>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</si>
  <si>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</si>
  <si>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</si>
  <si>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</si>
  <si>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</si>
  <si>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</si>
  <si>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</si>
  <si>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</si>
  <si>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</si>
  <si>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</si>
  <si>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</si>
  <si>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</si>
  <si>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</si>
  <si>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</si>
  <si>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</si>
  <si>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</si>
  <si>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</si>
  <si>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</si>
  <si>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</si>
  <si>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</si>
  <si>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</si>
  <si>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</si>
  <si>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</si>
  <si>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</si>
  <si>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</si>
  <si>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</si>
  <si>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</si>
  <si>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</si>
  <si>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</si>
  <si>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</si>
  <si>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</si>
  <si>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</si>
  <si>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</si>
  <si>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</si>
  <si>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</si>
  <si>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</si>
  <si>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</si>
  <si>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</si>
  <si>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</si>
  <si>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</si>
  <si>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</si>
  <si>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</si>
  <si>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</si>
  <si>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</si>
  <si>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</si>
  <si>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</si>
  <si>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</si>
  <si>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</si>
  <si>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</si>
  <si>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</si>
  <si>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</si>
  <si>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</si>
  <si>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</si>
  <si>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</si>
  <si>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</si>
  <si>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</si>
  <si>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</si>
  <si>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</si>
  <si>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</si>
  <si>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</si>
  <si>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</si>
  <si>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</si>
  <si>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</si>
  <si>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</si>
  <si>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</si>
  <si>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</si>
  <si>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</si>
  <si>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</si>
  <si>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</si>
  <si>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</si>
  <si>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</si>
  <si>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</si>
  <si>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</si>
  <si>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</si>
  <si>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</si>
  <si>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</si>
  <si>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</si>
  <si>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</si>
  <si>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</si>
  <si>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</si>
  <si>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</si>
  <si>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</si>
  <si>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</si>
  <si>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</si>
  <si>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</si>
  <si>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</si>
  <si>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</si>
  <si>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</si>
  <si>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</si>
  <si>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</si>
  <si>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</si>
  <si>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</si>
  <si>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</si>
  <si>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</si>
  <si>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</si>
  <si>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</si>
  <si>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</si>
  <si>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</si>
  <si>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</si>
  <si>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</si>
  <si>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</si>
  <si>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</si>
  <si>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</si>
  <si>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</si>
  <si>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</si>
  <si>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</si>
  <si>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</si>
  <si>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</si>
  <si>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</si>
  <si>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</si>
  <si>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</si>
  <si>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</si>
  <si>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</si>
  <si>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</si>
  <si>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</si>
  <si>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</si>
  <si>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</si>
  <si>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</si>
  <si>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</si>
  <si>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</si>
  <si>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</si>
  <si>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</si>
  <si>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</si>
  <si>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</si>
  <si>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</si>
  <si>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</si>
  <si>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</si>
  <si>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</si>
  <si>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</si>
  <si>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</si>
  <si>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</si>
  <si>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</si>
  <si>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</si>
  <si>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</si>
  <si>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</si>
  <si>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</si>
  <si>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</si>
  <si>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</si>
  <si>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</si>
  <si>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</si>
  <si>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</si>
  <si>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</si>
  <si>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</si>
  <si>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</si>
  <si>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</si>
  <si>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</si>
  <si>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</si>
  <si>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</si>
  <si>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</si>
  <si>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</si>
  <si>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</si>
  <si>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</si>
  <si>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</si>
  <si>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</si>
  <si>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</si>
  <si>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</si>
  <si>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</si>
  <si>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</si>
  <si>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</si>
  <si>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</si>
  <si>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</si>
  <si>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</si>
  <si>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</si>
  <si>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</si>
  <si>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</si>
  <si>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</si>
  <si>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</si>
  <si>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</si>
  <si>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</si>
  <si>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</si>
  <si>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</si>
  <si>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</si>
  <si>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</si>
  <si>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</si>
  <si>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</si>
  <si>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</si>
  <si>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</si>
  <si>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</si>
  <si>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</si>
  <si>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</si>
  <si>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</si>
  <si>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</si>
  <si>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</si>
  <si>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</si>
  <si>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</si>
  <si>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</si>
  <si>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</si>
  <si>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</si>
  <si>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</si>
  <si>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</si>
  <si>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</si>
  <si>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</si>
  <si>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</si>
  <si>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</si>
  <si>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</si>
  <si>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</si>
  <si>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</si>
  <si>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</si>
  <si>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</si>
  <si>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</si>
  <si>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</si>
  <si>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</si>
  <si>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</si>
  <si>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</si>
  <si>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</si>
  <si>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</si>
  <si>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</si>
  <si>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</si>
  <si>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</si>
  <si>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</si>
  <si>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</si>
  <si>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</si>
  <si>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</si>
  <si>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</si>
  <si>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</si>
  <si>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</si>
  <si>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</si>
  <si>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</si>
  <si>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</si>
  <si>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</si>
  <si>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</si>
  <si>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</si>
  <si>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</si>
  <si>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</si>
  <si>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</si>
  <si>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</si>
  <si>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</si>
  <si>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</si>
  <si>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</si>
  <si>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</si>
  <si>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</si>
  <si>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</si>
  <si>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</si>
  <si>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</si>
  <si>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</si>
  <si>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</si>
  <si>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</si>
  <si>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</si>
  <si>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</si>
  <si>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</si>
  <si>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</si>
  <si>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</si>
  <si>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</si>
  <si>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</si>
  <si>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</si>
  <si>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</si>
  <si>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</si>
  <si>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</si>
  <si>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</si>
  <si>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</si>
  <si>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</si>
  <si>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</si>
  <si>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</si>
  <si>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</si>
  <si>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</si>
  <si>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</si>
  <si>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</si>
  <si>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</si>
  <si>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</si>
  <si>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</si>
  <si>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</si>
  <si>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</si>
  <si>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</si>
  <si>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</si>
  <si>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</si>
  <si>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</si>
  <si>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</si>
  <si>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</si>
  <si>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</si>
  <si>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</si>
  <si>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</si>
  <si>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</si>
  <si>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</si>
  <si>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</si>
  <si>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</si>
  <si>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</si>
  <si>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</si>
  <si>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</si>
  <si>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</si>
  <si>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</si>
  <si>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</si>
  <si>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</si>
  <si>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</si>
  <si>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</si>
  <si>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</si>
  <si>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</si>
  <si>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</si>
  <si>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</si>
  <si>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</si>
  <si>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</si>
  <si>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</si>
  <si>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</si>
  <si>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</si>
  <si>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</si>
  <si>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</si>
  <si>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</si>
  <si>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</si>
  <si>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</si>
  <si>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</si>
  <si>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</si>
  <si>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</si>
  <si>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</si>
  <si>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</si>
  <si>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</si>
  <si>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</si>
  <si>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</si>
  <si>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</si>
  <si>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</si>
  <si>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</si>
  <si>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</si>
  <si>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</si>
  <si>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</si>
  <si>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</si>
  <si>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</si>
  <si>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</si>
  <si>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</si>
  <si>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</si>
  <si>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</si>
  <si>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</si>
  <si>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</si>
  <si>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</si>
  <si>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</si>
  <si>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</si>
  <si>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</si>
  <si>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</si>
  <si>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</si>
  <si>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</si>
  <si>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</si>
  <si>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</si>
  <si>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</si>
  <si>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</si>
  <si>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</si>
  <si>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</si>
  <si>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</si>
  <si>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</si>
  <si>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</si>
  <si>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</si>
  <si>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</si>
  <si>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</si>
  <si>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</si>
  <si>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</si>
  <si>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</si>
  <si>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</si>
  <si>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</si>
  <si>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</si>
  <si>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</si>
  <si>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</si>
  <si>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</si>
  <si>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</si>
  <si>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</si>
  <si>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</si>
  <si>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</si>
  <si>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</si>
  <si>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</si>
  <si>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</si>
  <si>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</si>
  <si>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</si>
  <si>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</si>
  <si>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</si>
  <si>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</si>
  <si>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</si>
  <si>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</si>
  <si>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</si>
  <si>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</si>
  <si>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</si>
  <si>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</si>
  <si>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</si>
  <si>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</si>
  <si>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</si>
  <si>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</si>
  <si>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</si>
  <si>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</si>
  <si>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</si>
  <si>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</si>
  <si>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</si>
  <si>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</si>
  <si>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</si>
  <si>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</si>
  <si>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</si>
  <si>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</si>
  <si>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</si>
  <si>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</si>
  <si>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</si>
  <si>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</si>
  <si>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</si>
  <si>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</si>
  <si>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</si>
  <si>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</si>
  <si>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</si>
  <si>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</si>
  <si>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</si>
  <si>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</si>
  <si>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</si>
  <si>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</si>
  <si>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</si>
  <si>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</si>
  <si>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</si>
  <si>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</si>
  <si>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</si>
  <si>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</si>
  <si>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</si>
  <si>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</si>
  <si>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</si>
  <si>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</si>
  <si>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</si>
  <si>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</si>
  <si>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</si>
  <si>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</si>
  <si>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</si>
  <si>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</si>
  <si>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</si>
  <si>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</si>
  <si>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</si>
  <si>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</si>
  <si>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</si>
  <si>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</si>
  <si>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</si>
  <si>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</si>
  <si>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</si>
  <si>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</si>
  <si>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</si>
  <si>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</si>
  <si>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</si>
  <si>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</si>
  <si>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</si>
  <si>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</si>
  <si>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</si>
  <si>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</si>
  <si>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</si>
  <si>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</si>
  <si>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</si>
  <si>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</si>
  <si>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</si>
  <si>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</si>
  <si>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</si>
  <si>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</si>
  <si>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</si>
  <si>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</si>
  <si>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</si>
  <si>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</si>
  <si>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</si>
  <si>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</si>
  <si>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</si>
  <si>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</si>
  <si>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</si>
  <si>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</si>
  <si>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</si>
  <si>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</si>
  <si>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</si>
  <si>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</si>
  <si>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</si>
  <si>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</si>
  <si>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</si>
  <si>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</si>
  <si>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</si>
  <si>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</si>
  <si>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</si>
  <si>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</si>
  <si>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</si>
  <si>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</si>
  <si>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</si>
  <si>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</si>
  <si>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</si>
  <si>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</si>
  <si>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</si>
  <si>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</si>
  <si>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</si>
  <si>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</si>
  <si>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</si>
  <si>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</si>
  <si>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</si>
  <si>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</si>
  <si>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</si>
  <si>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</si>
  <si>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</si>
  <si>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</si>
  <si>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</si>
  <si>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</si>
  <si>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</si>
  <si>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</si>
  <si>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</si>
  <si>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</si>
  <si>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</si>
  <si>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</si>
  <si>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</si>
  <si>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</si>
  <si>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</si>
  <si>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</si>
  <si>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</si>
  <si>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</si>
  <si>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</si>
  <si>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</si>
  <si>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</si>
  <si>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</si>
  <si>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</si>
  <si>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</si>
  <si>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</si>
  <si>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</si>
  <si>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</si>
  <si>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</si>
  <si>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</si>
  <si>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</si>
  <si>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</si>
  <si>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</si>
  <si>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</si>
  <si>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</si>
  <si>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</si>
  <si>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</si>
  <si>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</si>
  <si>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</si>
  <si>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</si>
  <si>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</si>
  <si>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</si>
  <si>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</si>
  <si>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</si>
  <si>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</si>
  <si>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</si>
  <si>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</si>
  <si>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</si>
  <si>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</si>
  <si>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</si>
  <si>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</si>
  <si>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</si>
  <si>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</si>
  <si>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</si>
  <si>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</si>
  <si>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</si>
  <si>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</si>
  <si>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</si>
  <si>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</si>
  <si>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</si>
  <si>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</si>
  <si>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</si>
  <si>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</si>
  <si>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</si>
  <si>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</si>
  <si>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</si>
  <si>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</si>
  <si>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</si>
  <si>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</si>
  <si>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</si>
  <si>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</si>
  <si>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</si>
  <si>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</si>
  <si>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</si>
  <si>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</si>
  <si>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</si>
  <si>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</si>
  <si>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</si>
  <si>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</si>
  <si>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</si>
  <si>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</si>
  <si>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</si>
  <si>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</si>
  <si>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</si>
  <si>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</si>
  <si>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</si>
  <si>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</si>
  <si>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</si>
  <si>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</si>
  <si>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</si>
  <si>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</si>
  <si>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</si>
  <si>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</si>
  <si>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</si>
  <si>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</si>
  <si>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</si>
  <si>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</si>
  <si>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</si>
  <si>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</si>
  <si>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</si>
  <si>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</si>
  <si>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</si>
  <si>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</si>
  <si>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</si>
  <si>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</si>
  <si>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</si>
  <si>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</si>
  <si>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</si>
  <si>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</si>
  <si>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</si>
  <si>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</si>
  <si>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</si>
  <si>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</si>
  <si>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</si>
  <si>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</si>
  <si>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</si>
  <si>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</si>
  <si>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</si>
  <si>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</si>
  <si>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</si>
  <si>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</si>
  <si>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</si>
  <si>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</si>
  <si>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</si>
  <si>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</si>
  <si>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</si>
  <si>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</si>
  <si>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</si>
  <si>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</si>
  <si>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</si>
  <si>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</si>
  <si>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</si>
  <si>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</si>
  <si>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</si>
  <si>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</si>
  <si>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</si>
  <si>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</si>
  <si>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</si>
  <si>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</si>
  <si>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</si>
  <si>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</si>
  <si>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</si>
  <si>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</si>
  <si>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</si>
  <si>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</si>
  <si>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</si>
  <si>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</si>
  <si>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</si>
  <si>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</si>
  <si>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</si>
  <si>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</si>
  <si>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</si>
  <si>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</si>
  <si>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</si>
  <si>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</si>
  <si>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</si>
  <si>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</si>
  <si>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</si>
  <si>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</si>
  <si>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</si>
  <si>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</si>
  <si>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</si>
  <si>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</si>
  <si>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</si>
  <si>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</si>
  <si>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</si>
  <si>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</si>
  <si>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</si>
  <si>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</si>
  <si>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</si>
  <si>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</si>
  <si>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</si>
  <si>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</si>
  <si>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</si>
  <si>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</si>
  <si>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</si>
  <si>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</si>
  <si>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</si>
  <si>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</si>
  <si>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</si>
  <si>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</si>
  <si>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</si>
  <si>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</si>
  <si>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</si>
  <si>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</si>
  <si>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</si>
  <si>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</si>
  <si>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</si>
  <si>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</si>
  <si>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</si>
  <si>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</si>
  <si>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</si>
  <si>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</si>
  <si>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</si>
  <si>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</si>
  <si>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</si>
  <si>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</si>
  <si>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</si>
  <si>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</si>
  <si>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</si>
  <si>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</si>
  <si>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</si>
  <si>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</si>
  <si>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</si>
  <si>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</si>
  <si>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</si>
  <si>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</si>
  <si>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</si>
  <si>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</si>
  <si>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</si>
  <si>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</si>
  <si>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</si>
  <si>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</si>
  <si>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</si>
  <si>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</si>
  <si>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</si>
  <si>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</si>
  <si>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</si>
  <si>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</si>
  <si>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</si>
  <si>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</si>
  <si>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</si>
  <si>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</si>
  <si>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</si>
  <si>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</si>
  <si>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</si>
  <si>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</si>
  <si>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</si>
  <si>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</si>
  <si>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</si>
  <si>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</si>
  <si>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</si>
  <si>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</si>
  <si>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</si>
  <si>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</si>
  <si>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</si>
  <si>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</si>
  <si>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</si>
  <si>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</si>
  <si>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</si>
  <si>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</si>
  <si>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</si>
  <si>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</si>
  <si>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</si>
  <si>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</si>
  <si>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</si>
  <si>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</si>
  <si>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</si>
  <si>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</si>
  <si>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</si>
  <si>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</si>
  <si>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</si>
  <si>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</si>
  <si>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</si>
  <si>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</si>
  <si>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</si>
  <si>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</si>
  <si>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</si>
  <si>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</si>
  <si>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</si>
  <si>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</si>
  <si>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</si>
  <si>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</si>
  <si>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31.12.2019 г.</t>
  </si>
  <si>
    <t>Към 31.12.2019 г.</t>
  </si>
  <si>
    <t>ОТЧЕТ към 31.12.2020 г.</t>
  </si>
  <si>
    <t>Към 31.12.2020 г.</t>
  </si>
  <si>
    <t>"Инертстрой-Калето"АД</t>
  </si>
  <si>
    <t xml:space="preserve">                    М.Тодорова                                                                                                                      Т.Йорданов</t>
  </si>
  <si>
    <t>М.Тодорова</t>
  </si>
  <si>
    <t>Т.Йорданов</t>
  </si>
  <si>
    <t>Инертстрой-Калето АД</t>
  </si>
  <si>
    <t>Инертстрой Калето АД</t>
  </si>
  <si>
    <t xml:space="preserve">Приложение: 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</si>
</sst>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48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2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2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2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2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2" applyNumberFormat="1" applyFont="1" applyFill="1" applyBorder="1" applyAlignment="1" applyProtection="1">
      <alignment horizontal="center" vertical="center"/>
    </xf>
    <xf numFmtId="10" fontId="83" fillId="6" borderId="2" xfId="2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2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8" fontId="17" fillId="6" borderId="1" xfId="0" applyNumberFormat="1" applyFont="1" applyFill="1" applyBorder="1" applyAlignment="1" applyProtection="1">
      <alignment vertical="center"/>
      <protection locked="0"/>
    </xf>
    <xf numFmtId="199" fontId="17" fillId="6" borderId="1" xfId="0" applyNumberFormat="1" applyFont="1" applyFill="1" applyBorder="1" applyAlignment="1" applyProtection="1">
      <alignment vertical="center"/>
      <protection locked="0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Alignment="1" applyProtection="1">
      <alignment wrapText="1"/>
    </xf>
    <xf numFmtId="0" fontId="4" fillId="5" borderId="0" xfId="0" applyFont="1" applyFill="1" applyAlignment="1" applyProtection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1"/>
    <cellStyle name="Нормален" xfId="0" builtinId="0"/>
    <cellStyle name="Процент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5" t="s">
        <v>350</v>
      </c>
      <c r="C3" s="685"/>
      <c r="D3" s="685"/>
      <c r="E3" s="685"/>
      <c r="F3" s="685"/>
      <c r="G3" s="685"/>
      <c r="H3" s="685"/>
    </row>
    <row r="4" spans="2:9">
      <c r="B4" s="685" t="s">
        <v>351</v>
      </c>
      <c r="C4" s="685"/>
      <c r="D4" s="685"/>
      <c r="E4" s="685"/>
      <c r="F4" s="685"/>
      <c r="G4" s="685"/>
      <c r="H4" s="685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84" t="s">
        <v>354</v>
      </c>
      <c r="D9" s="684"/>
      <c r="E9" s="684"/>
      <c r="F9" s="684"/>
      <c r="G9" s="684"/>
      <c r="H9" s="684"/>
      <c r="I9" s="684"/>
    </row>
    <row r="10" spans="2:9" ht="39" customHeight="1">
      <c r="B10" s="59">
        <v>4</v>
      </c>
      <c r="C10" s="684" t="s">
        <v>355</v>
      </c>
      <c r="D10" s="684"/>
      <c r="E10" s="684"/>
      <c r="F10" s="684"/>
      <c r="G10" s="684"/>
      <c r="H10" s="684"/>
      <c r="I10" s="684"/>
    </row>
    <row r="11" spans="2:9" ht="28.5" customHeight="1">
      <c r="B11" s="59">
        <v>5</v>
      </c>
      <c r="C11" s="684" t="s">
        <v>356</v>
      </c>
      <c r="D11" s="684"/>
      <c r="E11" s="684"/>
      <c r="F11" s="684"/>
      <c r="G11" s="684"/>
      <c r="H11" s="684"/>
      <c r="I11" s="684"/>
    </row>
    <row r="12" spans="2:9" ht="30" customHeight="1">
      <c r="B12" s="59">
        <v>6</v>
      </c>
      <c r="C12" s="684" t="s">
        <v>357</v>
      </c>
      <c r="D12" s="684"/>
      <c r="E12" s="684"/>
      <c r="F12" s="684"/>
      <c r="G12" s="684"/>
      <c r="H12" s="684"/>
      <c r="I12" s="684"/>
    </row>
    <row r="13" spans="2:9" ht="27" customHeight="1">
      <c r="B13" s="59">
        <v>7</v>
      </c>
      <c r="C13" s="684" t="s">
        <v>358</v>
      </c>
      <c r="D13" s="684"/>
      <c r="E13" s="684"/>
      <c r="F13" s="684"/>
      <c r="G13" s="684"/>
      <c r="H13" s="684"/>
      <c r="I13" s="684"/>
    </row>
    <row r="14" spans="2:9" ht="40.5" customHeight="1">
      <c r="B14" s="59">
        <v>8</v>
      </c>
      <c r="C14" s="684" t="s">
        <v>359</v>
      </c>
      <c r="D14" s="684"/>
      <c r="E14" s="684"/>
      <c r="F14" s="684"/>
      <c r="G14" s="684"/>
      <c r="H14" s="684"/>
      <c r="I14" s="684"/>
    </row>
    <row r="15" spans="2:9" ht="27" customHeight="1">
      <c r="B15" s="59">
        <v>9</v>
      </c>
      <c r="C15" s="684" t="s">
        <v>360</v>
      </c>
      <c r="D15" s="684"/>
      <c r="E15" s="684"/>
      <c r="F15" s="684"/>
      <c r="G15" s="684"/>
      <c r="H15" s="684"/>
      <c r="I15" s="684"/>
    </row>
    <row r="16" spans="2:9">
      <c r="B16" s="59">
        <v>10</v>
      </c>
      <c r="C16" s="684" t="s">
        <v>361</v>
      </c>
      <c r="D16" s="684"/>
      <c r="E16" s="684"/>
      <c r="F16" s="684"/>
      <c r="G16" s="684"/>
      <c r="H16" s="684"/>
      <c r="I16" s="684"/>
    </row>
    <row r="17" spans="2:9" ht="39" customHeight="1">
      <c r="B17" s="59">
        <v>11</v>
      </c>
      <c r="C17" s="684" t="s">
        <v>362</v>
      </c>
      <c r="D17" s="684"/>
      <c r="E17" s="684"/>
      <c r="F17" s="684"/>
      <c r="G17" s="684"/>
      <c r="H17" s="684"/>
      <c r="I17" s="684"/>
    </row>
    <row r="18" spans="2:9" ht="43.5" customHeight="1">
      <c r="B18" s="59">
        <v>12</v>
      </c>
      <c r="C18" s="684" t="s">
        <v>363</v>
      </c>
      <c r="D18" s="684"/>
      <c r="E18" s="684"/>
      <c r="F18" s="684"/>
      <c r="G18" s="684"/>
      <c r="H18" s="684"/>
      <c r="I18" s="684"/>
    </row>
    <row r="19" spans="2:9">
      <c r="B19" s="59">
        <v>13</v>
      </c>
      <c r="C19" s="684" t="s">
        <v>364</v>
      </c>
      <c r="D19" s="684"/>
      <c r="E19" s="684"/>
      <c r="F19" s="684"/>
      <c r="G19" s="684"/>
      <c r="H19" s="684"/>
      <c r="I19" s="684"/>
    </row>
    <row r="20" spans="2:9" ht="28.5" customHeight="1">
      <c r="B20" s="59">
        <v>14</v>
      </c>
      <c r="C20" s="684" t="s">
        <v>365</v>
      </c>
      <c r="D20" s="684"/>
      <c r="E20" s="684"/>
      <c r="F20" s="684"/>
      <c r="G20" s="684"/>
      <c r="H20" s="684"/>
      <c r="I20" s="684"/>
    </row>
    <row r="21" spans="2:9">
      <c r="B21" s="59">
        <v>15</v>
      </c>
      <c r="C21" s="684" t="s">
        <v>366</v>
      </c>
      <c r="D21" s="684"/>
      <c r="E21" s="684"/>
      <c r="F21" s="684"/>
      <c r="G21" s="684"/>
      <c r="H21" s="684"/>
      <c r="I21" s="684"/>
    </row>
    <row r="22" spans="2:9">
      <c r="B22" s="59">
        <v>16</v>
      </c>
      <c r="C22" s="684" t="s">
        <v>367</v>
      </c>
      <c r="D22" s="684"/>
      <c r="E22" s="684"/>
      <c r="F22" s="684"/>
      <c r="G22" s="684"/>
      <c r="H22" s="684"/>
      <c r="I22" s="684"/>
    </row>
    <row r="23" spans="2:9">
      <c r="B23" s="59">
        <v>17</v>
      </c>
      <c r="C23" s="684" t="s">
        <v>368</v>
      </c>
      <c r="D23" s="684"/>
      <c r="E23" s="684"/>
      <c r="F23" s="684"/>
      <c r="G23" s="684"/>
      <c r="H23" s="684"/>
      <c r="I23" s="684"/>
    </row>
    <row r="24" spans="2:9" ht="27.75" customHeight="1">
      <c r="B24" s="59">
        <v>18</v>
      </c>
      <c r="C24" s="684" t="s">
        <v>532</v>
      </c>
      <c r="D24" s="684"/>
      <c r="E24" s="684"/>
      <c r="F24" s="684"/>
      <c r="G24" s="684"/>
      <c r="H24" s="684"/>
      <c r="I24" s="684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15" activePane="bottomLeft" state="frozen"/>
      <selection pane="bottomLeft" activeCell="G29" sqref="G29"/>
    </sheetView>
  </sheetViews>
  <sheetFormatPr defaultColWidth="0" defaultRowHeight="12.75" zeroHeight="1"/>
  <cols>
    <col min="1" max="1" width="19.42578125" style="105" customWidth="1"/>
    <col min="2" max="2" width="20.42578125" style="105" customWidth="1"/>
    <col min="3" max="3" width="9.140625" style="108" bestFit="1" customWidth="1"/>
    <col min="4" max="4" width="10.5703125" style="105" customWidth="1"/>
    <col min="5" max="17" width="9.5703125" style="105" customWidth="1"/>
    <col min="18" max="20" width="9.5703125" style="105" hidden="1" customWidth="1"/>
    <col min="21" max="21" width="11.5703125" style="105" hidden="1" customWidth="1"/>
    <col min="22" max="22" width="11.42578125" style="105" hidden="1" customWidth="1"/>
    <col min="23" max="23" width="0" style="105" hidden="1" customWidth="1"/>
    <col min="24" max="16384" width="0" style="105" hidden="1"/>
  </cols>
  <sheetData>
    <row r="1" spans="1:16" ht="12.75" customHeight="1">
      <c r="A1" s="832" t="s">
        <v>600</v>
      </c>
      <c r="B1" s="832"/>
      <c r="C1" s="832"/>
      <c r="K1" s="106"/>
      <c r="L1" s="106"/>
      <c r="M1" s="106"/>
      <c r="N1" s="106"/>
      <c r="O1" s="106"/>
      <c r="P1" s="135" t="s">
        <v>698</v>
      </c>
    </row>
    <row r="2" spans="1:16">
      <c r="A2" s="833" t="str">
        <f>'ТИП-ПРОИЗ'!B3</f>
        <v>Инертстрой Калето АД</v>
      </c>
      <c r="B2" s="833"/>
      <c r="C2" s="833"/>
      <c r="K2" s="106"/>
      <c r="L2" s="106"/>
      <c r="M2" s="106"/>
      <c r="N2" s="106"/>
      <c r="O2" s="106"/>
      <c r="P2" s="106"/>
    </row>
    <row r="3" spans="1:16"/>
    <row r="4" spans="1:16">
      <c r="A4" s="839">
        <f>'ТИП-ПРОИЗ'!F6</f>
        <v>7.2020999999999997</v>
      </c>
      <c r="B4" s="840"/>
      <c r="C4" s="844" t="s">
        <v>161</v>
      </c>
      <c r="D4" s="109" t="s">
        <v>393</v>
      </c>
      <c r="E4" s="110">
        <f>DATE($A$4,D5,1)</f>
        <v>2739</v>
      </c>
      <c r="F4" s="110">
        <f t="shared" ref="F4:P4" si="0">DATE($A$4,$D$5+E5,1)</f>
        <v>2770</v>
      </c>
      <c r="G4" s="110">
        <f t="shared" si="0"/>
        <v>2801</v>
      </c>
      <c r="H4" s="110">
        <f t="shared" si="0"/>
        <v>2831</v>
      </c>
      <c r="I4" s="110">
        <f t="shared" si="0"/>
        <v>2862</v>
      </c>
      <c r="J4" s="110">
        <f t="shared" si="0"/>
        <v>2892</v>
      </c>
      <c r="K4" s="110">
        <f t="shared" si="0"/>
        <v>2923</v>
      </c>
      <c r="L4" s="110">
        <f t="shared" si="0"/>
        <v>2954</v>
      </c>
      <c r="M4" s="110">
        <f t="shared" si="0"/>
        <v>2983</v>
      </c>
      <c r="N4" s="110">
        <f t="shared" si="0"/>
        <v>3014</v>
      </c>
      <c r="O4" s="110">
        <f t="shared" si="0"/>
        <v>3044</v>
      </c>
      <c r="P4" s="110">
        <f t="shared" si="0"/>
        <v>3075</v>
      </c>
    </row>
    <row r="5" spans="1:16">
      <c r="A5" s="841"/>
      <c r="B5" s="842"/>
      <c r="C5" s="844"/>
      <c r="D5" s="140">
        <v>7</v>
      </c>
      <c r="E5" s="111">
        <v>1</v>
      </c>
      <c r="F5" s="111">
        <v>2</v>
      </c>
      <c r="G5" s="111">
        <v>3</v>
      </c>
      <c r="H5" s="111">
        <v>4</v>
      </c>
      <c r="I5" s="111">
        <v>5</v>
      </c>
      <c r="J5" s="111">
        <v>6</v>
      </c>
      <c r="K5" s="111">
        <v>7</v>
      </c>
      <c r="L5" s="111">
        <v>8</v>
      </c>
      <c r="M5" s="111">
        <v>9</v>
      </c>
      <c r="N5" s="111">
        <v>10</v>
      </c>
      <c r="O5" s="111">
        <v>11</v>
      </c>
      <c r="P5" s="111">
        <v>12</v>
      </c>
    </row>
    <row r="6" spans="1:16" ht="12.75" customHeight="1">
      <c r="A6" s="843" t="s">
        <v>702</v>
      </c>
      <c r="B6" s="534" t="s">
        <v>704</v>
      </c>
      <c r="C6" s="535"/>
      <c r="D6" s="114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</row>
    <row r="7" spans="1:16" ht="12.75" customHeight="1">
      <c r="A7" s="843"/>
      <c r="B7" s="534" t="s">
        <v>705</v>
      </c>
      <c r="C7" s="535"/>
      <c r="D7" s="114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</row>
    <row r="8" spans="1:16">
      <c r="A8" s="843"/>
      <c r="B8" s="536" t="s">
        <v>703</v>
      </c>
      <c r="C8" s="536"/>
      <c r="D8" s="114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533"/>
    </row>
    <row r="9" spans="1:16">
      <c r="A9" s="845" t="s">
        <v>546</v>
      </c>
      <c r="B9" s="112" t="s">
        <v>394</v>
      </c>
      <c r="C9" s="113" t="s">
        <v>70</v>
      </c>
      <c r="D9" s="114">
        <f>SUM(E9:P9)</f>
        <v>0</v>
      </c>
      <c r="E9" s="114">
        <f t="shared" ref="E9:P9" si="1">SUM(E10:E11)</f>
        <v>0</v>
      </c>
      <c r="F9" s="114">
        <f t="shared" si="1"/>
        <v>0</v>
      </c>
      <c r="G9" s="114">
        <f t="shared" si="1"/>
        <v>0</v>
      </c>
      <c r="H9" s="114">
        <f t="shared" si="1"/>
        <v>0</v>
      </c>
      <c r="I9" s="114">
        <f t="shared" si="1"/>
        <v>0</v>
      </c>
      <c r="J9" s="114">
        <f t="shared" si="1"/>
        <v>0</v>
      </c>
      <c r="K9" s="114">
        <f t="shared" si="1"/>
        <v>0</v>
      </c>
      <c r="L9" s="114">
        <f t="shared" si="1"/>
        <v>0</v>
      </c>
      <c r="M9" s="114">
        <f t="shared" si="1"/>
        <v>0</v>
      </c>
      <c r="N9" s="114">
        <f t="shared" si="1"/>
        <v>0</v>
      </c>
      <c r="O9" s="114">
        <f t="shared" si="1"/>
        <v>0</v>
      </c>
      <c r="P9" s="114">
        <f t="shared" si="1"/>
        <v>0</v>
      </c>
    </row>
    <row r="10" spans="1:16">
      <c r="A10" s="846"/>
      <c r="B10" s="112" t="s">
        <v>395</v>
      </c>
      <c r="C10" s="113" t="s">
        <v>70</v>
      </c>
      <c r="D10" s="114">
        <f t="shared" ref="D10:D17" si="2">SUM(E10:P10)</f>
        <v>0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>
      <c r="A11" s="847"/>
      <c r="B11" s="112" t="s">
        <v>396</v>
      </c>
      <c r="C11" s="113" t="s">
        <v>70</v>
      </c>
      <c r="D11" s="114">
        <f t="shared" si="2"/>
        <v>0</v>
      </c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</row>
    <row r="12" spans="1:16">
      <c r="A12" s="834" t="s">
        <v>750</v>
      </c>
      <c r="B12" s="112" t="s">
        <v>394</v>
      </c>
      <c r="C12" s="113" t="s">
        <v>70</v>
      </c>
      <c r="D12" s="114">
        <f t="shared" si="2"/>
        <v>0</v>
      </c>
      <c r="E12" s="114">
        <f t="shared" ref="E12:P12" si="3">SUM(E13:E14)</f>
        <v>0</v>
      </c>
      <c r="F12" s="114">
        <f t="shared" si="3"/>
        <v>0</v>
      </c>
      <c r="G12" s="114">
        <f t="shared" si="3"/>
        <v>0</v>
      </c>
      <c r="H12" s="114">
        <f t="shared" si="3"/>
        <v>0</v>
      </c>
      <c r="I12" s="114">
        <f t="shared" si="3"/>
        <v>0</v>
      </c>
      <c r="J12" s="114">
        <f t="shared" si="3"/>
        <v>0</v>
      </c>
      <c r="K12" s="114">
        <f t="shared" si="3"/>
        <v>0</v>
      </c>
      <c r="L12" s="114">
        <f t="shared" si="3"/>
        <v>0</v>
      </c>
      <c r="M12" s="114">
        <f t="shared" si="3"/>
        <v>0</v>
      </c>
      <c r="N12" s="114">
        <f t="shared" si="3"/>
        <v>0</v>
      </c>
      <c r="O12" s="114">
        <f t="shared" si="3"/>
        <v>0</v>
      </c>
      <c r="P12" s="114">
        <f t="shared" si="3"/>
        <v>0</v>
      </c>
    </row>
    <row r="13" spans="1:16">
      <c r="A13" s="835"/>
      <c r="B13" s="112" t="s">
        <v>395</v>
      </c>
      <c r="C13" s="113" t="s">
        <v>70</v>
      </c>
      <c r="D13" s="114">
        <f t="shared" si="2"/>
        <v>0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16">
      <c r="A14" s="836"/>
      <c r="B14" s="112" t="s">
        <v>396</v>
      </c>
      <c r="C14" s="113" t="s">
        <v>70</v>
      </c>
      <c r="D14" s="114">
        <f t="shared" si="2"/>
        <v>0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</row>
    <row r="15" spans="1:16">
      <c r="A15" s="834" t="s">
        <v>751</v>
      </c>
      <c r="B15" s="112" t="s">
        <v>394</v>
      </c>
      <c r="C15" s="113" t="s">
        <v>70</v>
      </c>
      <c r="D15" s="114">
        <f t="shared" si="2"/>
        <v>0</v>
      </c>
      <c r="E15" s="114">
        <f t="shared" ref="E15:P15" si="4">SUM(E16:E17)</f>
        <v>0</v>
      </c>
      <c r="F15" s="114">
        <f t="shared" si="4"/>
        <v>0</v>
      </c>
      <c r="G15" s="114">
        <f t="shared" si="4"/>
        <v>0</v>
      </c>
      <c r="H15" s="114">
        <f t="shared" si="4"/>
        <v>0</v>
      </c>
      <c r="I15" s="114">
        <f t="shared" si="4"/>
        <v>0</v>
      </c>
      <c r="J15" s="114">
        <f t="shared" si="4"/>
        <v>0</v>
      </c>
      <c r="K15" s="114">
        <f t="shared" si="4"/>
        <v>0</v>
      </c>
      <c r="L15" s="114">
        <f t="shared" si="4"/>
        <v>0</v>
      </c>
      <c r="M15" s="114">
        <f t="shared" si="4"/>
        <v>0</v>
      </c>
      <c r="N15" s="114">
        <f t="shared" si="4"/>
        <v>0</v>
      </c>
      <c r="O15" s="114">
        <f t="shared" si="4"/>
        <v>0</v>
      </c>
      <c r="P15" s="114">
        <f t="shared" si="4"/>
        <v>0</v>
      </c>
    </row>
    <row r="16" spans="1:16">
      <c r="A16" s="835"/>
      <c r="B16" s="112" t="s">
        <v>395</v>
      </c>
      <c r="C16" s="113" t="s">
        <v>70</v>
      </c>
      <c r="D16" s="114">
        <f t="shared" si="2"/>
        <v>0</v>
      </c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1:16">
      <c r="A17" s="836"/>
      <c r="B17" s="112" t="s">
        <v>396</v>
      </c>
      <c r="C17" s="113" t="s">
        <v>70</v>
      </c>
      <c r="D17" s="114">
        <f t="shared" si="2"/>
        <v>0</v>
      </c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>
      <c r="A18" s="116"/>
      <c r="B18" s="117"/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</row>
    <row r="19" spans="1:16">
      <c r="A19" s="112" t="s">
        <v>547</v>
      </c>
      <c r="B19" s="112" t="s">
        <v>394</v>
      </c>
      <c r="C19" s="113" t="s">
        <v>70</v>
      </c>
      <c r="D19" s="114">
        <f>SUM(E19:P19)</f>
        <v>0</v>
      </c>
      <c r="E19" s="114">
        <f t="shared" ref="E19:P19" si="5">SUM(E20:E21)</f>
        <v>0</v>
      </c>
      <c r="F19" s="114">
        <f t="shared" si="5"/>
        <v>0</v>
      </c>
      <c r="G19" s="114">
        <f t="shared" si="5"/>
        <v>0</v>
      </c>
      <c r="H19" s="114">
        <f t="shared" si="5"/>
        <v>0</v>
      </c>
      <c r="I19" s="114">
        <f t="shared" si="5"/>
        <v>0</v>
      </c>
      <c r="J19" s="114">
        <f t="shared" si="5"/>
        <v>0</v>
      </c>
      <c r="K19" s="114">
        <f t="shared" si="5"/>
        <v>0</v>
      </c>
      <c r="L19" s="114">
        <f t="shared" si="5"/>
        <v>0</v>
      </c>
      <c r="M19" s="114">
        <f t="shared" si="5"/>
        <v>0</v>
      </c>
      <c r="N19" s="114">
        <f t="shared" si="5"/>
        <v>0</v>
      </c>
      <c r="O19" s="114">
        <f t="shared" si="5"/>
        <v>0</v>
      </c>
      <c r="P19" s="114">
        <f t="shared" si="5"/>
        <v>0</v>
      </c>
    </row>
    <row r="20" spans="1:16">
      <c r="A20" s="120" t="s">
        <v>398</v>
      </c>
      <c r="B20" s="112" t="s">
        <v>395</v>
      </c>
      <c r="C20" s="113" t="s">
        <v>70</v>
      </c>
      <c r="D20" s="114">
        <f>SUM(E20:P20)</f>
        <v>0</v>
      </c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</row>
    <row r="21" spans="1:16">
      <c r="A21" s="115" t="s">
        <v>399</v>
      </c>
      <c r="B21" s="112" t="s">
        <v>396</v>
      </c>
      <c r="C21" s="113" t="s">
        <v>70</v>
      </c>
      <c r="D21" s="114">
        <f>SUM(E21:P21)</f>
        <v>0</v>
      </c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</row>
    <row r="22" spans="1:16">
      <c r="A22" s="112" t="s">
        <v>243</v>
      </c>
      <c r="B22" s="112" t="s">
        <v>676</v>
      </c>
      <c r="C22" s="109" t="s">
        <v>7</v>
      </c>
      <c r="D22" s="499">
        <f t="shared" ref="D22:P22" si="6">IF(D23=0,0,D19/D23)</f>
        <v>0</v>
      </c>
      <c r="E22" s="499">
        <f t="shared" si="6"/>
        <v>0</v>
      </c>
      <c r="F22" s="499">
        <f t="shared" si="6"/>
        <v>0</v>
      </c>
      <c r="G22" s="499">
        <f t="shared" si="6"/>
        <v>0</v>
      </c>
      <c r="H22" s="499">
        <f t="shared" si="6"/>
        <v>0</v>
      </c>
      <c r="I22" s="499">
        <f t="shared" si="6"/>
        <v>0</v>
      </c>
      <c r="J22" s="499">
        <f t="shared" si="6"/>
        <v>0</v>
      </c>
      <c r="K22" s="499">
        <f t="shared" si="6"/>
        <v>0</v>
      </c>
      <c r="L22" s="499">
        <f t="shared" si="6"/>
        <v>0</v>
      </c>
      <c r="M22" s="499">
        <f t="shared" si="6"/>
        <v>0</v>
      </c>
      <c r="N22" s="499">
        <f t="shared" si="6"/>
        <v>0</v>
      </c>
      <c r="O22" s="499">
        <f t="shared" si="6"/>
        <v>0</v>
      </c>
      <c r="P22" s="499">
        <f t="shared" si="6"/>
        <v>0</v>
      </c>
    </row>
    <row r="23" spans="1:16">
      <c r="A23" s="837" t="s">
        <v>548</v>
      </c>
      <c r="B23" s="121" t="s">
        <v>669</v>
      </c>
      <c r="C23" s="113" t="s">
        <v>70</v>
      </c>
      <c r="D23" s="114">
        <f>SUM(E23:P23)</f>
        <v>0</v>
      </c>
      <c r="E23" s="122">
        <f>SUMPRODUCT($B$25:$B$26,E25:E26)/860</f>
        <v>0</v>
      </c>
      <c r="F23" s="122">
        <f t="shared" ref="F23:P23" si="7">SUMPRODUCT($B$25:$B$26,F25:F26)/860</f>
        <v>0</v>
      </c>
      <c r="G23" s="122">
        <f t="shared" si="7"/>
        <v>0</v>
      </c>
      <c r="H23" s="122">
        <f t="shared" si="7"/>
        <v>0</v>
      </c>
      <c r="I23" s="122">
        <f t="shared" si="7"/>
        <v>0</v>
      </c>
      <c r="J23" s="122">
        <f t="shared" si="7"/>
        <v>0</v>
      </c>
      <c r="K23" s="122">
        <f t="shared" si="7"/>
        <v>0</v>
      </c>
      <c r="L23" s="122">
        <f t="shared" si="7"/>
        <v>0</v>
      </c>
      <c r="M23" s="122">
        <f t="shared" si="7"/>
        <v>0</v>
      </c>
      <c r="N23" s="122">
        <f t="shared" si="7"/>
        <v>0</v>
      </c>
      <c r="O23" s="122">
        <f t="shared" si="7"/>
        <v>0</v>
      </c>
      <c r="P23" s="122">
        <f t="shared" si="7"/>
        <v>0</v>
      </c>
    </row>
    <row r="24" spans="1:16" ht="14.25">
      <c r="A24" s="838"/>
      <c r="B24" s="121" t="s">
        <v>401</v>
      </c>
      <c r="C24" s="109" t="s">
        <v>400</v>
      </c>
      <c r="D24" s="114">
        <f>SUM(E24:P24)</f>
        <v>0</v>
      </c>
      <c r="E24" s="123">
        <f t="shared" ref="E24:P24" si="8">E23*0.86/7</f>
        <v>0</v>
      </c>
      <c r="F24" s="123">
        <f t="shared" si="8"/>
        <v>0</v>
      </c>
      <c r="G24" s="123">
        <f t="shared" si="8"/>
        <v>0</v>
      </c>
      <c r="H24" s="123">
        <f t="shared" si="8"/>
        <v>0</v>
      </c>
      <c r="I24" s="123">
        <f t="shared" si="8"/>
        <v>0</v>
      </c>
      <c r="J24" s="123">
        <f t="shared" si="8"/>
        <v>0</v>
      </c>
      <c r="K24" s="123">
        <f t="shared" si="8"/>
        <v>0</v>
      </c>
      <c r="L24" s="123">
        <f t="shared" si="8"/>
        <v>0</v>
      </c>
      <c r="M24" s="123">
        <f t="shared" si="8"/>
        <v>0</v>
      </c>
      <c r="N24" s="123">
        <f t="shared" si="8"/>
        <v>0</v>
      </c>
      <c r="O24" s="123">
        <f t="shared" si="8"/>
        <v>0</v>
      </c>
      <c r="P24" s="123">
        <f t="shared" si="8"/>
        <v>0</v>
      </c>
    </row>
    <row r="25" spans="1:16" ht="15.75">
      <c r="A25" s="120" t="s">
        <v>549</v>
      </c>
      <c r="B25" s="656">
        <v>8000</v>
      </c>
      <c r="C25" s="657" t="s">
        <v>372</v>
      </c>
      <c r="D25" s="114">
        <f>SUM(E25:P25)</f>
        <v>0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</row>
    <row r="26" spans="1:16" ht="15.75">
      <c r="A26" s="115" t="s">
        <v>550</v>
      </c>
      <c r="B26" s="656">
        <v>8000</v>
      </c>
      <c r="C26" s="657" t="s">
        <v>372</v>
      </c>
      <c r="D26" s="114">
        <f>SUM(E26:P26)</f>
        <v>0</v>
      </c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6" s="124" customFormat="1" ht="11.25" customHeight="1"/>
    <row r="28" spans="1:16">
      <c r="A28" s="125" t="s">
        <v>668</v>
      </c>
      <c r="B28" s="121" t="s">
        <v>669</v>
      </c>
      <c r="C28" s="113" t="s">
        <v>70</v>
      </c>
      <c r="D28" s="114">
        <f t="shared" ref="D28:D34" si="9">SUM(E28:P28)</f>
        <v>44995.348837209298</v>
      </c>
      <c r="E28" s="122">
        <f>SUMPRODUCT($A$30:$A$34,E30:E34)/860</f>
        <v>0</v>
      </c>
      <c r="F28" s="122">
        <f t="shared" ref="F28:P28" si="10">SUMPRODUCT($A$30:$A$34,F30:F34)/860</f>
        <v>0</v>
      </c>
      <c r="G28" s="122">
        <f t="shared" si="10"/>
        <v>2158.1395348837209</v>
      </c>
      <c r="H28" s="122">
        <f t="shared" si="10"/>
        <v>5581.395348837209</v>
      </c>
      <c r="I28" s="122">
        <f t="shared" si="10"/>
        <v>5395.3488372093025</v>
      </c>
      <c r="J28" s="122">
        <f t="shared" si="10"/>
        <v>5581.395348837209</v>
      </c>
      <c r="K28" s="122">
        <f t="shared" si="10"/>
        <v>5581.395348837209</v>
      </c>
      <c r="L28" s="122">
        <f t="shared" si="10"/>
        <v>5032.5581395348836</v>
      </c>
      <c r="M28" s="122">
        <f t="shared" si="10"/>
        <v>5581.395348837209</v>
      </c>
      <c r="N28" s="122">
        <f t="shared" si="10"/>
        <v>5395.3488372093025</v>
      </c>
      <c r="O28" s="122">
        <f t="shared" si="10"/>
        <v>4688.3720930232557</v>
      </c>
      <c r="P28" s="122">
        <f t="shared" si="10"/>
        <v>0</v>
      </c>
    </row>
    <row r="29" spans="1:16" ht="14.25">
      <c r="A29" s="126"/>
      <c r="B29" s="121" t="s">
        <v>401</v>
      </c>
      <c r="C29" s="109" t="s">
        <v>400</v>
      </c>
      <c r="D29" s="114">
        <f t="shared" si="9"/>
        <v>5528</v>
      </c>
      <c r="E29" s="123">
        <f t="shared" ref="E29:P29" si="11">E28*0.86/7</f>
        <v>0</v>
      </c>
      <c r="F29" s="123">
        <f t="shared" si="11"/>
        <v>0</v>
      </c>
      <c r="G29" s="123">
        <f t="shared" si="11"/>
        <v>265.14285714285717</v>
      </c>
      <c r="H29" s="123">
        <f t="shared" si="11"/>
        <v>685.71428571428567</v>
      </c>
      <c r="I29" s="123">
        <f t="shared" si="11"/>
        <v>662.85714285714289</v>
      </c>
      <c r="J29" s="123">
        <f t="shared" si="11"/>
        <v>685.71428571428567</v>
      </c>
      <c r="K29" s="123">
        <f t="shared" si="11"/>
        <v>685.71428571428567</v>
      </c>
      <c r="L29" s="123">
        <f t="shared" si="11"/>
        <v>618.28571428571433</v>
      </c>
      <c r="M29" s="123">
        <f t="shared" si="11"/>
        <v>685.71428571428567</v>
      </c>
      <c r="N29" s="123">
        <f t="shared" si="11"/>
        <v>662.85714285714289</v>
      </c>
      <c r="O29" s="123">
        <f t="shared" si="11"/>
        <v>576</v>
      </c>
      <c r="P29" s="123">
        <f t="shared" si="11"/>
        <v>0</v>
      </c>
    </row>
    <row r="30" spans="1:16" ht="15.75">
      <c r="A30" s="142">
        <v>8000</v>
      </c>
      <c r="B30" s="121" t="s">
        <v>9</v>
      </c>
      <c r="C30" s="109" t="s">
        <v>372</v>
      </c>
      <c r="D30" s="114">
        <f t="shared" si="9"/>
        <v>4837</v>
      </c>
      <c r="E30" s="141"/>
      <c r="F30" s="141"/>
      <c r="G30" s="141">
        <v>232</v>
      </c>
      <c r="H30" s="141">
        <v>600</v>
      </c>
      <c r="I30" s="141">
        <v>580</v>
      </c>
      <c r="J30" s="141">
        <v>600</v>
      </c>
      <c r="K30" s="141">
        <v>600</v>
      </c>
      <c r="L30" s="141">
        <v>541</v>
      </c>
      <c r="M30" s="141">
        <v>600</v>
      </c>
      <c r="N30" s="141">
        <v>580</v>
      </c>
      <c r="O30" s="141">
        <v>504</v>
      </c>
      <c r="P30" s="141"/>
    </row>
    <row r="31" spans="1:16">
      <c r="A31" s="77">
        <v>9500</v>
      </c>
      <c r="B31" s="121" t="s">
        <v>10</v>
      </c>
      <c r="C31" s="109" t="s">
        <v>23</v>
      </c>
      <c r="D31" s="114">
        <f t="shared" si="9"/>
        <v>0</v>
      </c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</row>
    <row r="32" spans="1:16">
      <c r="A32" s="77">
        <v>10500</v>
      </c>
      <c r="B32" s="121" t="s">
        <v>12</v>
      </c>
      <c r="C32" s="109" t="s">
        <v>23</v>
      </c>
      <c r="D32" s="114">
        <f t="shared" si="9"/>
        <v>0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</row>
    <row r="33" spans="1:16">
      <c r="A33" s="77">
        <v>6000</v>
      </c>
      <c r="B33" s="121" t="s">
        <v>11</v>
      </c>
      <c r="C33" s="109" t="s">
        <v>23</v>
      </c>
      <c r="D33" s="114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</row>
    <row r="34" spans="1:16" ht="15.75">
      <c r="A34" s="78">
        <v>6000</v>
      </c>
      <c r="B34" s="121" t="s">
        <v>402</v>
      </c>
      <c r="C34" s="109" t="s">
        <v>403</v>
      </c>
      <c r="D34" s="114">
        <f t="shared" si="9"/>
        <v>0</v>
      </c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</row>
    <row r="35" spans="1:16" s="124" customFormat="1"/>
    <row r="36" spans="1:16">
      <c r="A36" s="127" t="s">
        <v>671</v>
      </c>
      <c r="B36" s="128" t="s">
        <v>670</v>
      </c>
      <c r="C36" s="113" t="s">
        <v>70</v>
      </c>
      <c r="D36" s="114">
        <f>SUM(E36:P36)</f>
        <v>20837</v>
      </c>
      <c r="E36" s="141"/>
      <c r="F36" s="141"/>
      <c r="G36" s="141">
        <v>1006</v>
      </c>
      <c r="H36" s="141">
        <v>2583</v>
      </c>
      <c r="I36" s="141">
        <v>2500</v>
      </c>
      <c r="J36" s="141">
        <v>2583</v>
      </c>
      <c r="K36" s="141">
        <v>2583</v>
      </c>
      <c r="L36" s="141">
        <v>2333</v>
      </c>
      <c r="M36" s="141">
        <v>2583</v>
      </c>
      <c r="N36" s="141">
        <v>2499</v>
      </c>
      <c r="O36" s="141">
        <v>2167</v>
      </c>
      <c r="P36" s="141"/>
    </row>
    <row r="37" spans="1:16">
      <c r="A37" s="127" t="s">
        <v>672</v>
      </c>
      <c r="B37" s="128"/>
      <c r="C37" s="113" t="s">
        <v>70</v>
      </c>
      <c r="D37" s="114">
        <f>SUM(E37:P37)</f>
        <v>0</v>
      </c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</row>
    <row r="38" spans="1:16">
      <c r="A38" s="127" t="s">
        <v>673</v>
      </c>
      <c r="B38" s="128"/>
      <c r="C38" s="113" t="s">
        <v>70</v>
      </c>
      <c r="D38" s="114">
        <f>SUM(E38:P38)</f>
        <v>0</v>
      </c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</row>
    <row r="39" spans="1:16">
      <c r="A39" s="831" t="s">
        <v>16</v>
      </c>
      <c r="B39" s="129"/>
      <c r="C39" s="113" t="s">
        <v>70</v>
      </c>
      <c r="D39" s="114">
        <f>SUM(E39:P39)</f>
        <v>689</v>
      </c>
      <c r="E39" s="141"/>
      <c r="F39" s="141"/>
      <c r="G39" s="141">
        <v>39</v>
      </c>
      <c r="H39" s="141">
        <v>85</v>
      </c>
      <c r="I39" s="141">
        <v>82</v>
      </c>
      <c r="J39" s="141">
        <v>85</v>
      </c>
      <c r="K39" s="141">
        <v>85</v>
      </c>
      <c r="L39" s="141">
        <v>77</v>
      </c>
      <c r="M39" s="141">
        <v>85</v>
      </c>
      <c r="N39" s="141">
        <v>82</v>
      </c>
      <c r="O39" s="141">
        <v>69</v>
      </c>
      <c r="P39" s="141"/>
    </row>
    <row r="40" spans="1:16">
      <c r="A40" s="831"/>
      <c r="B40" s="129"/>
      <c r="C40" s="109" t="s">
        <v>7</v>
      </c>
      <c r="D40" s="130">
        <f t="shared" ref="D40:P40" si="12">IF(D36=0,0,D39/D36)</f>
        <v>3.3066180352258001E-2</v>
      </c>
      <c r="E40" s="130">
        <f t="shared" si="12"/>
        <v>0</v>
      </c>
      <c r="F40" s="130">
        <f t="shared" si="12"/>
        <v>0</v>
      </c>
      <c r="G40" s="130">
        <f t="shared" si="12"/>
        <v>3.8767395626242547E-2</v>
      </c>
      <c r="H40" s="130">
        <f t="shared" si="12"/>
        <v>3.2907471931862178E-2</v>
      </c>
      <c r="I40" s="130">
        <f t="shared" si="12"/>
        <v>3.2800000000000003E-2</v>
      </c>
      <c r="J40" s="130">
        <f t="shared" si="12"/>
        <v>3.2907471931862178E-2</v>
      </c>
      <c r="K40" s="130">
        <f t="shared" si="12"/>
        <v>3.2907471931862178E-2</v>
      </c>
      <c r="L40" s="130">
        <f t="shared" si="12"/>
        <v>3.3004714959279896E-2</v>
      </c>
      <c r="M40" s="130">
        <f t="shared" si="12"/>
        <v>3.2907471931862178E-2</v>
      </c>
      <c r="N40" s="130">
        <f t="shared" si="12"/>
        <v>3.2813125250100043E-2</v>
      </c>
      <c r="O40" s="130">
        <f t="shared" si="12"/>
        <v>3.1841255191509002E-2</v>
      </c>
      <c r="P40" s="130">
        <f t="shared" si="12"/>
        <v>0</v>
      </c>
    </row>
    <row r="41" spans="1:16" ht="20.25">
      <c r="A41" s="830" t="s">
        <v>404</v>
      </c>
      <c r="B41" s="131" t="s">
        <v>394</v>
      </c>
      <c r="C41" s="113" t="s">
        <v>70</v>
      </c>
      <c r="D41" s="132">
        <f t="shared" ref="D41:D46" si="13">SUM(E41:P41)</f>
        <v>20148</v>
      </c>
      <c r="E41" s="114">
        <f t="shared" ref="E41:P41" si="14">SUM(E36,-E39)</f>
        <v>0</v>
      </c>
      <c r="F41" s="114">
        <f t="shared" si="14"/>
        <v>0</v>
      </c>
      <c r="G41" s="114">
        <v>967</v>
      </c>
      <c r="H41" s="114">
        <v>2498</v>
      </c>
      <c r="I41" s="114">
        <v>2418</v>
      </c>
      <c r="J41" s="114">
        <v>2498</v>
      </c>
      <c r="K41" s="114">
        <v>2498</v>
      </c>
      <c r="L41" s="114">
        <v>2256</v>
      </c>
      <c r="M41" s="114">
        <v>2498</v>
      </c>
      <c r="N41" s="114">
        <v>2417</v>
      </c>
      <c r="O41" s="114">
        <v>2098</v>
      </c>
      <c r="P41" s="114">
        <f t="shared" si="14"/>
        <v>0</v>
      </c>
    </row>
    <row r="42" spans="1:16">
      <c r="A42" s="830"/>
      <c r="B42" s="128" t="s">
        <v>675</v>
      </c>
      <c r="C42" s="113" t="s">
        <v>70</v>
      </c>
      <c r="D42" s="114">
        <f t="shared" si="13"/>
        <v>600</v>
      </c>
      <c r="E42" s="141"/>
      <c r="F42" s="141"/>
      <c r="G42" s="141">
        <v>30</v>
      </c>
      <c r="H42" s="141">
        <v>75</v>
      </c>
      <c r="I42" s="141">
        <v>72</v>
      </c>
      <c r="J42" s="141">
        <v>75</v>
      </c>
      <c r="K42" s="141">
        <v>75</v>
      </c>
      <c r="L42" s="141">
        <v>67</v>
      </c>
      <c r="M42" s="141">
        <v>75</v>
      </c>
      <c r="N42" s="141">
        <v>72</v>
      </c>
      <c r="O42" s="141">
        <v>59</v>
      </c>
      <c r="P42" s="141"/>
    </row>
    <row r="43" spans="1:16">
      <c r="A43" s="830"/>
      <c r="B43" s="128" t="s">
        <v>674</v>
      </c>
      <c r="C43" s="113" t="s">
        <v>70</v>
      </c>
      <c r="D43" s="132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>
        <f t="shared" ref="P43" si="15">SUM(P41,-P42)</f>
        <v>0</v>
      </c>
    </row>
    <row r="44" spans="1:16">
      <c r="A44" s="830" t="s">
        <v>408</v>
      </c>
      <c r="B44" s="133" t="s">
        <v>405</v>
      </c>
      <c r="C44" s="113" t="s">
        <v>70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>
        <f t="shared" ref="P44" si="16">SUM(P43,-P45,-P46)</f>
        <v>0</v>
      </c>
    </row>
    <row r="45" spans="1:16">
      <c r="A45" s="830"/>
      <c r="B45" s="133" t="s">
        <v>406</v>
      </c>
      <c r="C45" s="113" t="s">
        <v>70</v>
      </c>
      <c r="D45" s="114">
        <f t="shared" si="13"/>
        <v>20148</v>
      </c>
      <c r="E45" s="141"/>
      <c r="F45" s="141"/>
      <c r="G45" s="114">
        <v>967</v>
      </c>
      <c r="H45" s="114">
        <v>2498</v>
      </c>
      <c r="I45" s="114">
        <v>2418</v>
      </c>
      <c r="J45" s="114">
        <v>2498</v>
      </c>
      <c r="K45" s="114">
        <v>2498</v>
      </c>
      <c r="L45" s="114">
        <v>2256</v>
      </c>
      <c r="M45" s="114">
        <v>2498</v>
      </c>
      <c r="N45" s="114">
        <v>2417</v>
      </c>
      <c r="O45" s="114">
        <v>2098</v>
      </c>
      <c r="P45" s="141"/>
    </row>
    <row r="46" spans="1:16">
      <c r="A46" s="830"/>
      <c r="B46" s="133" t="s">
        <v>407</v>
      </c>
      <c r="C46" s="113" t="s">
        <v>70</v>
      </c>
      <c r="D46" s="114">
        <f t="shared" si="13"/>
        <v>0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</row>
    <row r="47" spans="1:16">
      <c r="A47" s="829" t="s">
        <v>745</v>
      </c>
      <c r="B47" s="210" t="s">
        <v>395</v>
      </c>
      <c r="C47" s="113" t="s">
        <v>164</v>
      </c>
      <c r="D47" s="12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</row>
    <row r="48" spans="1:16">
      <c r="A48" s="829"/>
      <c r="B48" s="645" t="s">
        <v>396</v>
      </c>
      <c r="C48" s="113" t="s">
        <v>164</v>
      </c>
      <c r="D48" s="112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</row>
    <row r="49" spans="1:16">
      <c r="A49" s="235"/>
      <c r="B49" s="646"/>
      <c r="C49" s="118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</row>
    <row r="50" spans="1:16">
      <c r="A50" s="235"/>
      <c r="B50" s="646"/>
      <c r="C50" s="118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</row>
    <row r="51" spans="1:16">
      <c r="B51" s="135" t="str">
        <f>'[1]Разходи-Произв.'!$A$79</f>
        <v>Гл. счетоводител:</v>
      </c>
      <c r="C51" s="105"/>
      <c r="G51" s="136" t="str">
        <f>'[1]Разходи-Произв.'!$E$79</f>
        <v>Изп. директор:</v>
      </c>
      <c r="I51" s="137"/>
      <c r="J51" s="137"/>
    </row>
    <row r="52" spans="1:16">
      <c r="A52" s="134"/>
      <c r="C52" s="138" t="str">
        <f>Разходи!$B$93</f>
        <v>М.Тодорова</v>
      </c>
      <c r="G52" s="137"/>
      <c r="H52" s="139" t="str">
        <f>Разходи!$F$93</f>
        <v>Т.Йорданов</v>
      </c>
      <c r="I52" s="139"/>
      <c r="J52" s="139"/>
    </row>
    <row r="53" spans="1:16">
      <c r="A53" s="134"/>
      <c r="B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</row>
    <row r="54" spans="1:16" hidden="1">
      <c r="A54" s="134"/>
      <c r="B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</row>
    <row r="55" spans="1:16" hidden="1">
      <c r="A55" s="134"/>
      <c r="B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1:16" hidden="1">
      <c r="A56" s="134"/>
      <c r="B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1:16" hidden="1">
      <c r="A57" s="134"/>
      <c r="B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1:16" hidden="1">
      <c r="A58" s="134"/>
      <c r="B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1:16" hidden="1">
      <c r="A59" s="134"/>
      <c r="B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1:16" hidden="1">
      <c r="A60" s="134"/>
      <c r="B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1:16" hidden="1">
      <c r="A61" s="134"/>
      <c r="B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1:16" hidden="1">
      <c r="A62" s="134"/>
      <c r="B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1:16" hidden="1">
      <c r="A63" s="134"/>
      <c r="B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1:16" hidden="1">
      <c r="A64" s="134"/>
      <c r="B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1:16" hidden="1">
      <c r="A65" s="134"/>
      <c r="B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1:16" hidden="1">
      <c r="A66" s="134"/>
      <c r="B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1:16" hidden="1">
      <c r="A67" s="134"/>
      <c r="B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1:16" hidden="1">
      <c r="A68" s="134"/>
      <c r="B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</row>
    <row r="69" spans="1:16" hidden="1">
      <c r="A69" s="134"/>
      <c r="B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</row>
    <row r="70" spans="1:16" hidden="1">
      <c r="A70" s="134"/>
      <c r="B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</row>
    <row r="71" spans="1:16" hidden="1">
      <c r="A71" s="134"/>
      <c r="B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</row>
    <row r="72" spans="1:16" hidden="1">
      <c r="A72" s="134"/>
      <c r="B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</row>
    <row r="73" spans="1:16" hidden="1">
      <c r="A73" s="134"/>
      <c r="B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</row>
    <row r="74" spans="1:16" hidden="1">
      <c r="A74" s="134"/>
      <c r="B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</row>
    <row r="75" spans="1:16" hidden="1">
      <c r="A75" s="134"/>
      <c r="B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</row>
    <row r="76" spans="1:16" hidden="1">
      <c r="A76" s="134"/>
      <c r="B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</row>
    <row r="77" spans="1:16" hidden="1">
      <c r="A77" s="134"/>
      <c r="B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</row>
    <row r="78" spans="1:16" hidden="1">
      <c r="A78" s="134"/>
      <c r="B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</row>
    <row r="79" spans="1:16" hidden="1">
      <c r="A79" s="134"/>
      <c r="B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</row>
    <row r="80" spans="1:16" hidden="1">
      <c r="A80" s="134"/>
      <c r="B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</row>
    <row r="81" spans="1:16" hidden="1">
      <c r="A81" s="134"/>
      <c r="B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</row>
    <row r="82" spans="1:16" hidden="1">
      <c r="A82" s="134"/>
      <c r="B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</row>
    <row r="83" spans="1:16" hidden="1">
      <c r="A83" s="134"/>
      <c r="B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</row>
    <row r="84" spans="1:16" hidden="1">
      <c r="A84" s="134"/>
      <c r="B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</row>
    <row r="85" spans="1:16" hidden="1">
      <c r="A85" s="134"/>
      <c r="B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</row>
    <row r="86" spans="1:16" hidden="1">
      <c r="A86" s="134"/>
      <c r="B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</row>
    <row r="87" spans="1:16" hidden="1">
      <c r="A87" s="134"/>
      <c r="B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</row>
    <row r="88" spans="1:16" hidden="1">
      <c r="A88" s="134"/>
      <c r="B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</row>
    <row r="89" spans="1:16" hidden="1">
      <c r="A89" s="134"/>
      <c r="B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</row>
    <row r="90" spans="1:16" hidden="1">
      <c r="A90" s="134"/>
      <c r="B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</row>
    <row r="91" spans="1:16" hidden="1">
      <c r="A91" s="134"/>
      <c r="B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</row>
    <row r="92" spans="1:16" hidden="1">
      <c r="A92" s="134"/>
      <c r="B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</row>
    <row r="93" spans="1:16" hidden="1">
      <c r="A93" s="134"/>
      <c r="B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</row>
    <row r="94" spans="1:16" hidden="1">
      <c r="A94" s="134"/>
      <c r="B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</row>
    <row r="95" spans="1:16" hidden="1">
      <c r="A95" s="134"/>
      <c r="B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</row>
    <row r="96" spans="1:16" hidden="1">
      <c r="A96" s="134"/>
      <c r="B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</row>
    <row r="97" spans="1:16" hidden="1">
      <c r="A97" s="134"/>
      <c r="B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</row>
    <row r="98" spans="1:16" hidden="1">
      <c r="A98" s="134"/>
      <c r="B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</row>
    <row r="99" spans="1:16" hidden="1">
      <c r="A99" s="134"/>
      <c r="B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</row>
    <row r="100" spans="1:16" hidden="1">
      <c r="A100" s="134"/>
      <c r="B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</row>
    <row r="101" spans="1:16" hidden="1">
      <c r="A101" s="134"/>
      <c r="B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</row>
    <row r="102" spans="1:16" hidden="1">
      <c r="A102" s="134"/>
      <c r="B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</row>
    <row r="103" spans="1:16" hidden="1">
      <c r="A103" s="134"/>
      <c r="B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</row>
    <row r="104" spans="1:16" hidden="1">
      <c r="A104" s="134"/>
      <c r="B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</row>
    <row r="105" spans="1:16" hidden="1">
      <c r="A105" s="134"/>
      <c r="B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</row>
    <row r="106" spans="1:16" hidden="1">
      <c r="A106" s="134"/>
      <c r="B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</row>
    <row r="107" spans="1:16" hidden="1">
      <c r="A107" s="134"/>
      <c r="B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</row>
    <row r="108" spans="1:16" hidden="1">
      <c r="A108" s="134"/>
      <c r="B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</row>
    <row r="109" spans="1:16" hidden="1">
      <c r="A109" s="134"/>
      <c r="B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</row>
    <row r="110" spans="1:16" hidden="1">
      <c r="A110" s="134"/>
      <c r="B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</row>
    <row r="111" spans="1:16" hidden="1">
      <c r="A111" s="134"/>
      <c r="B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</row>
    <row r="112" spans="1:16" hidden="1">
      <c r="A112" s="134"/>
      <c r="B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</row>
    <row r="113" spans="1:16" hidden="1">
      <c r="A113" s="134"/>
      <c r="B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</row>
    <row r="114" spans="1:16" hidden="1">
      <c r="A114" s="134"/>
      <c r="B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</row>
    <row r="115" spans="1:16" hidden="1">
      <c r="A115" s="134"/>
      <c r="B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</row>
    <row r="116" spans="1:16" hidden="1">
      <c r="A116" s="134"/>
      <c r="B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</row>
    <row r="117" spans="1:16" hidden="1">
      <c r="A117" s="134"/>
      <c r="B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</row>
    <row r="118" spans="1:16" hidden="1">
      <c r="A118" s="134"/>
      <c r="B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</row>
    <row r="119" spans="1:16" hidden="1">
      <c r="A119" s="134"/>
      <c r="B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</row>
    <row r="120" spans="1:16" hidden="1">
      <c r="A120" s="134"/>
      <c r="B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</row>
    <row r="121" spans="1:16" hidden="1">
      <c r="A121" s="134"/>
      <c r="B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</row>
    <row r="122" spans="1:16" hidden="1">
      <c r="A122" s="134"/>
      <c r="B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</row>
    <row r="123" spans="1:16" hidden="1">
      <c r="A123" s="134"/>
      <c r="B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</row>
    <row r="124" spans="1:16" hidden="1">
      <c r="A124" s="134"/>
      <c r="B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</row>
    <row r="125" spans="1:16" hidden="1">
      <c r="A125" s="134"/>
      <c r="B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</row>
    <row r="126" spans="1:16" hidden="1">
      <c r="A126" s="134"/>
      <c r="B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</row>
    <row r="127" spans="1:16" hidden="1">
      <c r="A127" s="134"/>
      <c r="B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</row>
    <row r="128" spans="1:16" hidden="1">
      <c r="A128" s="134"/>
      <c r="B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</row>
    <row r="129" spans="1:16" hidden="1">
      <c r="A129" s="134"/>
      <c r="B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</row>
    <row r="130" spans="1:16" hidden="1">
      <c r="A130" s="134"/>
      <c r="B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</row>
    <row r="131" spans="1:16" hidden="1">
      <c r="A131" s="134"/>
      <c r="B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</row>
    <row r="132" spans="1:16" hidden="1">
      <c r="A132" s="134"/>
      <c r="B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</row>
    <row r="133" spans="1:16" hidden="1">
      <c r="A133" s="134"/>
      <c r="B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</row>
    <row r="134" spans="1:16" hidden="1">
      <c r="A134" s="134"/>
      <c r="B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</row>
    <row r="135" spans="1:16" hidden="1">
      <c r="A135" s="134"/>
      <c r="B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</row>
    <row r="136" spans="1:16" hidden="1">
      <c r="A136" s="134"/>
      <c r="B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</row>
    <row r="137" spans="1:16" hidden="1">
      <c r="A137" s="134"/>
      <c r="B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</row>
    <row r="138" spans="1:16" hidden="1">
      <c r="A138" s="134"/>
      <c r="B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</row>
    <row r="139" spans="1:16" hidden="1">
      <c r="A139" s="134"/>
      <c r="B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</row>
    <row r="140" spans="1:16" hidden="1">
      <c r="A140" s="134"/>
      <c r="B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</row>
    <row r="141" spans="1:16" hidden="1">
      <c r="A141" s="134"/>
      <c r="B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</row>
    <row r="142" spans="1:16" hidden="1">
      <c r="A142" s="134"/>
      <c r="B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</row>
    <row r="143" spans="1:16" hidden="1">
      <c r="A143" s="134"/>
      <c r="B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</row>
    <row r="144" spans="1:16" hidden="1">
      <c r="A144" s="134"/>
      <c r="B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</row>
    <row r="145" spans="1:16" hidden="1">
      <c r="A145" s="134"/>
      <c r="B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</row>
    <row r="146" spans="1:16" hidden="1">
      <c r="A146" s="134"/>
      <c r="B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</row>
    <row r="147" spans="1:16" hidden="1">
      <c r="A147" s="134"/>
      <c r="B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</row>
    <row r="148" spans="1:16" hidden="1">
      <c r="A148" s="134"/>
      <c r="B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</row>
    <row r="149" spans="1:16" hidden="1">
      <c r="A149" s="134"/>
      <c r="B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8" activePane="bottomLeft" state="frozen"/>
      <selection pane="bottomLeft" activeCell="G10" sqref="G10"/>
    </sheetView>
  </sheetViews>
  <sheetFormatPr defaultColWidth="0" defaultRowHeight="12.75" zeroHeight="1"/>
  <cols>
    <col min="1" max="1" width="4.5703125" style="134" customWidth="1"/>
    <col min="2" max="2" width="34.42578125" style="134" customWidth="1"/>
    <col min="3" max="3" width="7.5703125" style="108" bestFit="1" customWidth="1"/>
    <col min="4" max="4" width="9" style="108" customWidth="1"/>
    <col min="5" max="5" width="9.140625" style="108" customWidth="1"/>
    <col min="6" max="6" width="9.5703125" style="108" customWidth="1"/>
    <col min="7" max="8" width="9" style="108" customWidth="1"/>
    <col min="9" max="9" width="10.42578125" style="108" customWidth="1"/>
    <col min="10" max="10" width="9.42578125" style="134" customWidth="1"/>
    <col min="11" max="16384" width="0" style="134" hidden="1"/>
  </cols>
  <sheetData>
    <row r="1" spans="1:9">
      <c r="B1" s="687">
        <v>1</v>
      </c>
      <c r="C1" s="687"/>
      <c r="I1" s="135" t="s">
        <v>679</v>
      </c>
    </row>
    <row r="2" spans="1:9">
      <c r="B2" s="688" t="s">
        <v>386</v>
      </c>
      <c r="C2" s="688"/>
    </row>
    <row r="3" spans="1:9">
      <c r="A3" s="154"/>
      <c r="B3" s="688" t="s">
        <v>765</v>
      </c>
      <c r="C3" s="688"/>
      <c r="D3" s="154"/>
      <c r="E3" s="154"/>
      <c r="F3" s="154"/>
      <c r="G3" s="154"/>
      <c r="H3" s="154"/>
      <c r="I3" s="154"/>
    </row>
    <row r="4" spans="1:9" ht="12.75" customHeight="1" thickBot="1">
      <c r="A4" s="162"/>
      <c r="B4" s="162"/>
      <c r="C4" s="162"/>
      <c r="D4" s="162"/>
      <c r="E4" s="162"/>
      <c r="F4" s="162"/>
      <c r="G4" s="162"/>
      <c r="H4" s="162"/>
      <c r="I4" s="162"/>
    </row>
    <row r="5" spans="1:9" ht="13.5" thickTop="1">
      <c r="A5" s="692" t="s">
        <v>0</v>
      </c>
      <c r="B5" s="694" t="s">
        <v>1</v>
      </c>
      <c r="C5" s="694" t="s">
        <v>2</v>
      </c>
      <c r="D5" s="696">
        <f>'ТИП-ПРОИЗ'!E6</f>
        <v>2019.9999999999995</v>
      </c>
      <c r="E5" s="696"/>
      <c r="F5" s="696"/>
      <c r="G5" s="689">
        <f>'ТИП-ПРОИЗ'!F6</f>
        <v>7.2020999999999997</v>
      </c>
      <c r="H5" s="690"/>
      <c r="I5" s="691"/>
    </row>
    <row r="6" spans="1:9">
      <c r="A6" s="693"/>
      <c r="B6" s="695"/>
      <c r="C6" s="695"/>
      <c r="D6" s="163" t="s">
        <v>250</v>
      </c>
      <c r="E6" s="163" t="s">
        <v>85</v>
      </c>
      <c r="F6" s="164" t="s">
        <v>152</v>
      </c>
      <c r="G6" s="163" t="s">
        <v>250</v>
      </c>
      <c r="H6" s="163" t="s">
        <v>85</v>
      </c>
      <c r="I6" s="510" t="s">
        <v>152</v>
      </c>
    </row>
    <row r="7" spans="1:9">
      <c r="A7" s="165">
        <v>1</v>
      </c>
      <c r="B7" s="166">
        <v>2</v>
      </c>
      <c r="C7" s="166">
        <v>3</v>
      </c>
      <c r="D7" s="166">
        <v>4</v>
      </c>
      <c r="E7" s="166">
        <v>5</v>
      </c>
      <c r="F7" s="166" t="s">
        <v>80</v>
      </c>
      <c r="G7" s="166">
        <v>7</v>
      </c>
      <c r="H7" s="166">
        <v>8</v>
      </c>
      <c r="I7" s="167" t="s">
        <v>79</v>
      </c>
    </row>
    <row r="8" spans="1:9">
      <c r="A8" s="168" t="s">
        <v>133</v>
      </c>
      <c r="B8" s="169" t="s">
        <v>151</v>
      </c>
      <c r="C8" s="170" t="s">
        <v>3</v>
      </c>
      <c r="D8" s="132">
        <f>SUM(D9:D10)</f>
        <v>2944</v>
      </c>
      <c r="E8" s="132">
        <f>SUM(E9:E10)</f>
        <v>0</v>
      </c>
      <c r="F8" s="171">
        <f>SUM(D8:E8)</f>
        <v>2944</v>
      </c>
      <c r="G8" s="132">
        <f>SUM(G9:G10)</f>
        <v>4714</v>
      </c>
      <c r="H8" s="132">
        <f>SUM(H9:H10)</f>
        <v>0</v>
      </c>
      <c r="I8" s="172">
        <f>SUM(G8:H8)</f>
        <v>4714</v>
      </c>
    </row>
    <row r="9" spans="1:9">
      <c r="A9" s="173" t="s">
        <v>143</v>
      </c>
      <c r="B9" s="174" t="s">
        <v>39</v>
      </c>
      <c r="C9" s="175" t="s">
        <v>3</v>
      </c>
      <c r="D9" s="176">
        <v>656</v>
      </c>
      <c r="E9" s="176">
        <f>РБА!E76*НВ!F$21</f>
        <v>0</v>
      </c>
      <c r="F9" s="177">
        <f>SUM(D9,E9)</f>
        <v>656</v>
      </c>
      <c r="G9" s="176">
        <v>194</v>
      </c>
      <c r="H9" s="176">
        <f>РБА!H76*НВ!G$21</f>
        <v>0</v>
      </c>
      <c r="I9" s="178">
        <f>SUM(G9,H9)</f>
        <v>194</v>
      </c>
    </row>
    <row r="10" spans="1:9" ht="25.5">
      <c r="A10" s="168" t="s">
        <v>103</v>
      </c>
      <c r="B10" s="179" t="s">
        <v>173</v>
      </c>
      <c r="C10" s="180" t="s">
        <v>3</v>
      </c>
      <c r="D10" s="132">
        <f>SUM(D11,D61)</f>
        <v>2288</v>
      </c>
      <c r="E10" s="132">
        <f>SUM(E11,E61)</f>
        <v>0</v>
      </c>
      <c r="F10" s="171">
        <f t="shared" ref="F10:F27" si="0">SUM(D10:E10)</f>
        <v>2288</v>
      </c>
      <c r="G10" s="132">
        <f>SUM(G11,G61)</f>
        <v>4520</v>
      </c>
      <c r="H10" s="132">
        <f>SUM(H11,H61)</f>
        <v>0</v>
      </c>
      <c r="I10" s="172">
        <f t="shared" ref="I10:I27" si="1">SUM(G10:H10)</f>
        <v>4520</v>
      </c>
    </row>
    <row r="11" spans="1:9">
      <c r="A11" s="181" t="s">
        <v>144</v>
      </c>
      <c r="B11" s="182" t="s">
        <v>169</v>
      </c>
      <c r="C11" s="183" t="s">
        <v>3</v>
      </c>
      <c r="D11" s="132">
        <f>SUM(D13,D18,D23:D24,D27,-D59,-D60)</f>
        <v>992</v>
      </c>
      <c r="E11" s="132">
        <f>SUM(E13,E18,E23:E24,E27,-E59,-E60)</f>
        <v>0</v>
      </c>
      <c r="F11" s="132">
        <f t="shared" si="0"/>
        <v>992</v>
      </c>
      <c r="G11" s="132">
        <f>SUM(G13,G18,G23:G24,G27,-G59,-G60)</f>
        <v>1119</v>
      </c>
      <c r="H11" s="132">
        <f>SUM(H13,H18,H23:H24,H27,-H59,-H60)</f>
        <v>0</v>
      </c>
      <c r="I11" s="184">
        <f t="shared" si="1"/>
        <v>1119</v>
      </c>
    </row>
    <row r="12" spans="1:9">
      <c r="A12" s="181" t="s">
        <v>145</v>
      </c>
      <c r="B12" s="185" t="s">
        <v>438</v>
      </c>
      <c r="C12" s="183" t="s">
        <v>3</v>
      </c>
      <c r="D12" s="132">
        <f>SUM(D11,-D13)</f>
        <v>780</v>
      </c>
      <c r="E12" s="132">
        <f>SUM(E11,-E13)</f>
        <v>0</v>
      </c>
      <c r="F12" s="132">
        <f t="shared" si="0"/>
        <v>780</v>
      </c>
      <c r="G12" s="132">
        <f>SUM(G11,-G13)</f>
        <v>922</v>
      </c>
      <c r="H12" s="132">
        <f>SUM(H11,-H13)</f>
        <v>0</v>
      </c>
      <c r="I12" s="184">
        <f t="shared" si="1"/>
        <v>922</v>
      </c>
    </row>
    <row r="13" spans="1:9">
      <c r="A13" s="186">
        <v>1</v>
      </c>
      <c r="B13" s="187" t="s">
        <v>4</v>
      </c>
      <c r="C13" s="188" t="s">
        <v>3</v>
      </c>
      <c r="D13" s="114">
        <v>212</v>
      </c>
      <c r="E13" s="114">
        <f>SUM(E14:E15,E17)</f>
        <v>0</v>
      </c>
      <c r="F13" s="114">
        <f t="shared" si="0"/>
        <v>212</v>
      </c>
      <c r="G13" s="114">
        <f>SUM(G14:G15,G17)</f>
        <v>197</v>
      </c>
      <c r="H13" s="114">
        <f>SUM(H14:H15,H17)</f>
        <v>0</v>
      </c>
      <c r="I13" s="189">
        <f t="shared" si="1"/>
        <v>197</v>
      </c>
    </row>
    <row r="14" spans="1:9">
      <c r="A14" s="190" t="s">
        <v>256</v>
      </c>
      <c r="B14" s="122" t="s">
        <v>170</v>
      </c>
      <c r="C14" s="188" t="s">
        <v>3</v>
      </c>
      <c r="D14" s="82">
        <v>180</v>
      </c>
      <c r="E14" s="71"/>
      <c r="F14" s="123">
        <f t="shared" si="0"/>
        <v>180</v>
      </c>
      <c r="G14" s="82">
        <v>180</v>
      </c>
      <c r="H14" s="71"/>
      <c r="I14" s="191">
        <f t="shared" si="1"/>
        <v>180</v>
      </c>
    </row>
    <row r="15" spans="1:9">
      <c r="A15" s="190" t="s">
        <v>257</v>
      </c>
      <c r="B15" s="122" t="s">
        <v>435</v>
      </c>
      <c r="C15" s="188" t="s">
        <v>3</v>
      </c>
      <c r="D15" s="82">
        <v>32</v>
      </c>
      <c r="E15" s="9"/>
      <c r="F15" s="123">
        <f t="shared" si="0"/>
        <v>32</v>
      </c>
      <c r="G15" s="82">
        <v>17</v>
      </c>
      <c r="H15" s="9"/>
      <c r="I15" s="191">
        <f t="shared" si="1"/>
        <v>17</v>
      </c>
    </row>
    <row r="16" spans="1:9">
      <c r="A16" s="190"/>
      <c r="B16" s="122" t="s">
        <v>437</v>
      </c>
      <c r="C16" s="188" t="s">
        <v>3</v>
      </c>
      <c r="D16" s="82"/>
      <c r="E16" s="71"/>
      <c r="F16" s="123"/>
      <c r="G16" s="82"/>
      <c r="H16" s="71"/>
      <c r="I16" s="191"/>
    </row>
    <row r="17" spans="1:9">
      <c r="A17" s="190" t="s">
        <v>258</v>
      </c>
      <c r="B17" s="122" t="s">
        <v>127</v>
      </c>
      <c r="C17" s="188" t="s">
        <v>3</v>
      </c>
      <c r="D17" s="82"/>
      <c r="E17" s="71"/>
      <c r="F17" s="123">
        <f t="shared" si="0"/>
        <v>0</v>
      </c>
      <c r="G17" s="82"/>
      <c r="H17" s="71"/>
      <c r="I17" s="191">
        <f t="shared" si="1"/>
        <v>0</v>
      </c>
    </row>
    <row r="18" spans="1:9">
      <c r="A18" s="186">
        <v>2</v>
      </c>
      <c r="B18" s="187" t="s">
        <v>172</v>
      </c>
      <c r="C18" s="188" t="s">
        <v>3</v>
      </c>
      <c r="D18" s="114">
        <f>SUM(D19:D20,D22)</f>
        <v>302</v>
      </c>
      <c r="E18" s="114">
        <f>SUM(E19:E20,E22)</f>
        <v>0</v>
      </c>
      <c r="F18" s="114">
        <f t="shared" si="0"/>
        <v>302</v>
      </c>
      <c r="G18" s="114">
        <v>370</v>
      </c>
      <c r="H18" s="114">
        <f>SUM(H19:H20,H22)</f>
        <v>0</v>
      </c>
      <c r="I18" s="189">
        <f t="shared" si="1"/>
        <v>370</v>
      </c>
    </row>
    <row r="19" spans="1:9">
      <c r="A19" s="192" t="s">
        <v>272</v>
      </c>
      <c r="B19" s="123" t="s">
        <v>171</v>
      </c>
      <c r="C19" s="188" t="s">
        <v>3</v>
      </c>
      <c r="D19" s="82">
        <v>280</v>
      </c>
      <c r="E19" s="71"/>
      <c r="F19" s="123">
        <f t="shared" si="0"/>
        <v>280</v>
      </c>
      <c r="G19" s="82">
        <v>350</v>
      </c>
      <c r="H19" s="71"/>
      <c r="I19" s="191">
        <f t="shared" si="1"/>
        <v>350</v>
      </c>
    </row>
    <row r="20" spans="1:9">
      <c r="A20" s="192" t="s">
        <v>273</v>
      </c>
      <c r="B20" s="122" t="s">
        <v>435</v>
      </c>
      <c r="C20" s="188" t="s">
        <v>3</v>
      </c>
      <c r="D20" s="82">
        <v>22</v>
      </c>
      <c r="E20" s="9"/>
      <c r="F20" s="123">
        <f t="shared" si="0"/>
        <v>22</v>
      </c>
      <c r="G20" s="82">
        <v>20</v>
      </c>
      <c r="H20" s="9"/>
      <c r="I20" s="191">
        <f t="shared" si="1"/>
        <v>20</v>
      </c>
    </row>
    <row r="21" spans="1:9">
      <c r="A21" s="192"/>
      <c r="B21" s="122" t="s">
        <v>436</v>
      </c>
      <c r="C21" s="188"/>
      <c r="D21" s="82"/>
      <c r="E21" s="71"/>
      <c r="F21" s="123"/>
      <c r="G21" s="82"/>
      <c r="H21" s="71"/>
      <c r="I21" s="191"/>
    </row>
    <row r="22" spans="1:9">
      <c r="A22" s="192" t="s">
        <v>276</v>
      </c>
      <c r="B22" s="122" t="s">
        <v>127</v>
      </c>
      <c r="C22" s="188" t="s">
        <v>3</v>
      </c>
      <c r="D22" s="82"/>
      <c r="E22" s="71"/>
      <c r="F22" s="123">
        <f t="shared" si="0"/>
        <v>0</v>
      </c>
      <c r="G22" s="82"/>
      <c r="H22" s="71"/>
      <c r="I22" s="191">
        <f t="shared" si="1"/>
        <v>0</v>
      </c>
    </row>
    <row r="23" spans="1:9">
      <c r="A23" s="186">
        <v>3</v>
      </c>
      <c r="B23" s="187" t="s">
        <v>119</v>
      </c>
      <c r="C23" s="188" t="s">
        <v>3</v>
      </c>
      <c r="D23" s="82">
        <v>160</v>
      </c>
      <c r="E23" s="9"/>
      <c r="F23" s="114">
        <f t="shared" si="0"/>
        <v>160</v>
      </c>
      <c r="G23" s="82">
        <v>180</v>
      </c>
      <c r="H23" s="9"/>
      <c r="I23" s="189">
        <f t="shared" si="1"/>
        <v>180</v>
      </c>
    </row>
    <row r="24" spans="1:9" ht="25.5" customHeight="1">
      <c r="A24" s="186">
        <v>4</v>
      </c>
      <c r="B24" s="193" t="s">
        <v>311</v>
      </c>
      <c r="C24" s="188" t="s">
        <v>3</v>
      </c>
      <c r="D24" s="122">
        <f>SUM(D25:D26)</f>
        <v>18</v>
      </c>
      <c r="E24" s="194">
        <f>SUM(E25:E26)</f>
        <v>0</v>
      </c>
      <c r="F24" s="114">
        <f t="shared" si="0"/>
        <v>18</v>
      </c>
      <c r="G24" s="122">
        <f>SUM(G25:G26)</f>
        <v>50</v>
      </c>
      <c r="H24" s="194">
        <f>SUM(H25:H26)</f>
        <v>0</v>
      </c>
      <c r="I24" s="189">
        <f t="shared" si="1"/>
        <v>50</v>
      </c>
    </row>
    <row r="25" spans="1:9">
      <c r="A25" s="190" t="s">
        <v>251</v>
      </c>
      <c r="B25" s="195" t="s">
        <v>284</v>
      </c>
      <c r="C25" s="188" t="s">
        <v>3</v>
      </c>
      <c r="D25" s="54">
        <v>18</v>
      </c>
      <c r="E25" s="9"/>
      <c r="F25" s="114">
        <f t="shared" si="0"/>
        <v>18</v>
      </c>
      <c r="G25" s="54">
        <v>50</v>
      </c>
      <c r="H25" s="9"/>
      <c r="I25" s="189">
        <f t="shared" si="1"/>
        <v>50</v>
      </c>
    </row>
    <row r="26" spans="1:9">
      <c r="A26" s="190" t="s">
        <v>252</v>
      </c>
      <c r="B26" s="195" t="s">
        <v>285</v>
      </c>
      <c r="C26" s="188" t="s">
        <v>3</v>
      </c>
      <c r="D26" s="54"/>
      <c r="E26" s="9"/>
      <c r="F26" s="114">
        <f t="shared" si="0"/>
        <v>0</v>
      </c>
      <c r="G26" s="54"/>
      <c r="H26" s="9"/>
      <c r="I26" s="189">
        <f t="shared" si="1"/>
        <v>0</v>
      </c>
    </row>
    <row r="27" spans="1:9" ht="25.5">
      <c r="A27" s="186">
        <v>5</v>
      </c>
      <c r="B27" s="187" t="s">
        <v>729</v>
      </c>
      <c r="C27" s="188" t="s">
        <v>3</v>
      </c>
      <c r="D27" s="123">
        <f>SUM(D28:D57)</f>
        <v>300</v>
      </c>
      <c r="E27" s="196">
        <f>SUM(E28:E57)</f>
        <v>0</v>
      </c>
      <c r="F27" s="114">
        <f t="shared" si="0"/>
        <v>300</v>
      </c>
      <c r="G27" s="123">
        <f>SUM(G28:G57)</f>
        <v>322</v>
      </c>
      <c r="H27" s="196">
        <f>SUM(H28:H57)</f>
        <v>0</v>
      </c>
      <c r="I27" s="189">
        <f t="shared" si="1"/>
        <v>322</v>
      </c>
    </row>
    <row r="28" spans="1:9">
      <c r="A28" s="190" t="s">
        <v>263</v>
      </c>
      <c r="B28" s="195" t="s">
        <v>104</v>
      </c>
      <c r="C28" s="188" t="s">
        <v>3</v>
      </c>
      <c r="D28" s="54">
        <v>9</v>
      </c>
      <c r="E28" s="9"/>
      <c r="F28" s="123">
        <f t="shared" ref="F28:F78" si="2">SUM(D28:E28)</f>
        <v>9</v>
      </c>
      <c r="G28" s="54">
        <v>11</v>
      </c>
      <c r="H28" s="9"/>
      <c r="I28" s="191">
        <f t="shared" ref="I28:I51" si="3">SUM(G28:H28)</f>
        <v>11</v>
      </c>
    </row>
    <row r="29" spans="1:9">
      <c r="A29" s="190" t="s">
        <v>264</v>
      </c>
      <c r="B29" s="195" t="s">
        <v>105</v>
      </c>
      <c r="C29" s="188" t="s">
        <v>3</v>
      </c>
      <c r="D29" s="54">
        <v>2</v>
      </c>
      <c r="E29" s="9"/>
      <c r="F29" s="123">
        <f t="shared" si="2"/>
        <v>2</v>
      </c>
      <c r="G29" s="54">
        <v>3</v>
      </c>
      <c r="H29" s="9"/>
      <c r="I29" s="191">
        <f t="shared" si="3"/>
        <v>3</v>
      </c>
    </row>
    <row r="30" spans="1:9">
      <c r="A30" s="190" t="s">
        <v>265</v>
      </c>
      <c r="B30" s="195" t="s">
        <v>106</v>
      </c>
      <c r="C30" s="188" t="s">
        <v>3</v>
      </c>
      <c r="D30" s="54">
        <v>2</v>
      </c>
      <c r="E30" s="9"/>
      <c r="F30" s="123">
        <f t="shared" si="2"/>
        <v>2</v>
      </c>
      <c r="G30" s="54">
        <v>1</v>
      </c>
      <c r="H30" s="9"/>
      <c r="I30" s="191">
        <f t="shared" si="3"/>
        <v>1</v>
      </c>
    </row>
    <row r="31" spans="1:9">
      <c r="A31" s="190" t="s">
        <v>266</v>
      </c>
      <c r="B31" s="195" t="s">
        <v>107</v>
      </c>
      <c r="C31" s="188" t="s">
        <v>3</v>
      </c>
      <c r="D31" s="54">
        <v>142</v>
      </c>
      <c r="E31" s="9"/>
      <c r="F31" s="123">
        <f t="shared" si="2"/>
        <v>142</v>
      </c>
      <c r="G31" s="54">
        <v>148</v>
      </c>
      <c r="H31" s="9"/>
      <c r="I31" s="191">
        <f t="shared" si="3"/>
        <v>148</v>
      </c>
    </row>
    <row r="32" spans="1:9">
      <c r="A32" s="190" t="s">
        <v>267</v>
      </c>
      <c r="B32" s="195" t="s">
        <v>108</v>
      </c>
      <c r="C32" s="188" t="s">
        <v>3</v>
      </c>
      <c r="D32" s="54">
        <v>19</v>
      </c>
      <c r="E32" s="9"/>
      <c r="F32" s="123">
        <f t="shared" si="2"/>
        <v>19</v>
      </c>
      <c r="G32" s="54">
        <v>20</v>
      </c>
      <c r="H32" s="9"/>
      <c r="I32" s="191">
        <f t="shared" si="3"/>
        <v>20</v>
      </c>
    </row>
    <row r="33" spans="1:9">
      <c r="A33" s="190" t="s">
        <v>268</v>
      </c>
      <c r="B33" s="195" t="s">
        <v>109</v>
      </c>
      <c r="C33" s="188" t="s">
        <v>3</v>
      </c>
      <c r="D33" s="54">
        <v>102</v>
      </c>
      <c r="E33" s="9"/>
      <c r="F33" s="123">
        <f t="shared" si="2"/>
        <v>102</v>
      </c>
      <c r="G33" s="54">
        <v>109</v>
      </c>
      <c r="H33" s="9"/>
      <c r="I33" s="191">
        <f t="shared" si="3"/>
        <v>109</v>
      </c>
    </row>
    <row r="34" spans="1:9" ht="25.5">
      <c r="A34" s="190" t="s">
        <v>286</v>
      </c>
      <c r="B34" s="195" t="s">
        <v>110</v>
      </c>
      <c r="C34" s="188" t="s">
        <v>3</v>
      </c>
      <c r="D34" s="54">
        <v>1</v>
      </c>
      <c r="E34" s="9"/>
      <c r="F34" s="123">
        <f t="shared" si="2"/>
        <v>1</v>
      </c>
      <c r="G34" s="54">
        <v>1</v>
      </c>
      <c r="H34" s="9"/>
      <c r="I34" s="191">
        <f t="shared" si="3"/>
        <v>1</v>
      </c>
    </row>
    <row r="35" spans="1:9">
      <c r="A35" s="190" t="s">
        <v>287</v>
      </c>
      <c r="B35" s="195" t="s">
        <v>111</v>
      </c>
      <c r="C35" s="188" t="s">
        <v>3</v>
      </c>
      <c r="D35" s="54"/>
      <c r="E35" s="9"/>
      <c r="F35" s="123">
        <f t="shared" si="2"/>
        <v>0</v>
      </c>
      <c r="G35" s="54"/>
      <c r="H35" s="9"/>
      <c r="I35" s="191">
        <f t="shared" si="3"/>
        <v>0</v>
      </c>
    </row>
    <row r="36" spans="1:9">
      <c r="A36" s="190" t="s">
        <v>288</v>
      </c>
      <c r="B36" s="195" t="s">
        <v>112</v>
      </c>
      <c r="C36" s="188" t="s">
        <v>3</v>
      </c>
      <c r="D36" s="54">
        <v>5</v>
      </c>
      <c r="E36" s="9"/>
      <c r="F36" s="123">
        <f t="shared" si="2"/>
        <v>5</v>
      </c>
      <c r="G36" s="54">
        <v>5</v>
      </c>
      <c r="H36" s="9"/>
      <c r="I36" s="191">
        <f t="shared" si="3"/>
        <v>5</v>
      </c>
    </row>
    <row r="37" spans="1:9">
      <c r="A37" s="190" t="s">
        <v>304</v>
      </c>
      <c r="B37" s="195" t="s">
        <v>113</v>
      </c>
      <c r="C37" s="188" t="s">
        <v>3</v>
      </c>
      <c r="D37" s="54"/>
      <c r="E37" s="9"/>
      <c r="F37" s="123">
        <f t="shared" si="2"/>
        <v>0</v>
      </c>
      <c r="G37" s="54"/>
      <c r="H37" s="9"/>
      <c r="I37" s="191">
        <f t="shared" si="3"/>
        <v>0</v>
      </c>
    </row>
    <row r="38" spans="1:9">
      <c r="A38" s="190" t="s">
        <v>289</v>
      </c>
      <c r="B38" s="195" t="s">
        <v>114</v>
      </c>
      <c r="C38" s="188" t="s">
        <v>3</v>
      </c>
      <c r="D38" s="54">
        <v>3</v>
      </c>
      <c r="E38" s="9"/>
      <c r="F38" s="123">
        <f t="shared" si="2"/>
        <v>3</v>
      </c>
      <c r="G38" s="54">
        <v>4</v>
      </c>
      <c r="H38" s="9"/>
      <c r="I38" s="191">
        <f t="shared" si="3"/>
        <v>4</v>
      </c>
    </row>
    <row r="39" spans="1:9">
      <c r="A39" s="190" t="s">
        <v>290</v>
      </c>
      <c r="B39" s="195" t="s">
        <v>115</v>
      </c>
      <c r="C39" s="188" t="s">
        <v>3</v>
      </c>
      <c r="D39" s="54"/>
      <c r="E39" s="9"/>
      <c r="F39" s="123">
        <f t="shared" si="2"/>
        <v>0</v>
      </c>
      <c r="G39" s="54"/>
      <c r="H39" s="9"/>
      <c r="I39" s="191">
        <f t="shared" si="3"/>
        <v>0</v>
      </c>
    </row>
    <row r="40" spans="1:9">
      <c r="A40" s="190" t="s">
        <v>291</v>
      </c>
      <c r="B40" s="195" t="s">
        <v>116</v>
      </c>
      <c r="C40" s="188" t="s">
        <v>3</v>
      </c>
      <c r="D40" s="54">
        <v>4</v>
      </c>
      <c r="E40" s="9"/>
      <c r="F40" s="123">
        <f t="shared" si="2"/>
        <v>4</v>
      </c>
      <c r="G40" s="54">
        <v>5</v>
      </c>
      <c r="H40" s="64"/>
      <c r="I40" s="191">
        <f t="shared" si="3"/>
        <v>5</v>
      </c>
    </row>
    <row r="41" spans="1:9">
      <c r="A41" s="190" t="s">
        <v>292</v>
      </c>
      <c r="B41" s="195" t="s">
        <v>118</v>
      </c>
      <c r="C41" s="188" t="s">
        <v>3</v>
      </c>
      <c r="D41" s="54">
        <v>3</v>
      </c>
      <c r="E41" s="9"/>
      <c r="F41" s="123">
        <f t="shared" si="2"/>
        <v>3</v>
      </c>
      <c r="G41" s="54">
        <v>4</v>
      </c>
      <c r="H41" s="9"/>
      <c r="I41" s="191">
        <f t="shared" si="3"/>
        <v>4</v>
      </c>
    </row>
    <row r="42" spans="1:9" ht="25.5">
      <c r="A42" s="190" t="s">
        <v>293</v>
      </c>
      <c r="B42" s="195" t="s">
        <v>120</v>
      </c>
      <c r="C42" s="188" t="s">
        <v>3</v>
      </c>
      <c r="D42" s="54"/>
      <c r="E42" s="9"/>
      <c r="F42" s="122">
        <f t="shared" ref="F42:F51" si="4">SUM(D42:E42)</f>
        <v>0</v>
      </c>
      <c r="G42" s="54"/>
      <c r="H42" s="69"/>
      <c r="I42" s="511">
        <f t="shared" si="3"/>
        <v>0</v>
      </c>
    </row>
    <row r="43" spans="1:9">
      <c r="A43" s="190" t="s">
        <v>294</v>
      </c>
      <c r="B43" s="195" t="s">
        <v>121</v>
      </c>
      <c r="C43" s="188" t="s">
        <v>3</v>
      </c>
      <c r="D43" s="54">
        <v>2</v>
      </c>
      <c r="E43" s="9"/>
      <c r="F43" s="122">
        <f t="shared" si="4"/>
        <v>2</v>
      </c>
      <c r="G43" s="54">
        <v>2</v>
      </c>
      <c r="H43" s="70"/>
      <c r="I43" s="511">
        <f t="shared" si="3"/>
        <v>2</v>
      </c>
    </row>
    <row r="44" spans="1:9">
      <c r="A44" s="190" t="s">
        <v>295</v>
      </c>
      <c r="B44" s="195" t="s">
        <v>122</v>
      </c>
      <c r="C44" s="188" t="s">
        <v>3</v>
      </c>
      <c r="D44" s="54"/>
      <c r="E44" s="9"/>
      <c r="F44" s="122">
        <f t="shared" si="4"/>
        <v>0</v>
      </c>
      <c r="G44" s="54"/>
      <c r="H44" s="70"/>
      <c r="I44" s="511">
        <f t="shared" si="3"/>
        <v>0</v>
      </c>
    </row>
    <row r="45" spans="1:9">
      <c r="A45" s="190" t="s">
        <v>296</v>
      </c>
      <c r="B45" s="195" t="s">
        <v>123</v>
      </c>
      <c r="C45" s="188" t="s">
        <v>3</v>
      </c>
      <c r="D45" s="54">
        <v>2</v>
      </c>
      <c r="E45" s="9"/>
      <c r="F45" s="122">
        <f t="shared" si="4"/>
        <v>2</v>
      </c>
      <c r="G45" s="54">
        <v>3</v>
      </c>
      <c r="H45" s="70"/>
      <c r="I45" s="511">
        <f t="shared" si="3"/>
        <v>3</v>
      </c>
    </row>
    <row r="46" spans="1:9">
      <c r="A46" s="190" t="s">
        <v>297</v>
      </c>
      <c r="B46" s="197" t="s">
        <v>124</v>
      </c>
      <c r="C46" s="188" t="s">
        <v>3</v>
      </c>
      <c r="D46" s="54"/>
      <c r="E46" s="9"/>
      <c r="F46" s="122">
        <f t="shared" si="4"/>
        <v>0</v>
      </c>
      <c r="G46" s="54"/>
      <c r="H46" s="9"/>
      <c r="I46" s="511">
        <f t="shared" si="3"/>
        <v>0</v>
      </c>
    </row>
    <row r="47" spans="1:9">
      <c r="A47" s="190" t="s">
        <v>298</v>
      </c>
      <c r="B47" s="197" t="s">
        <v>125</v>
      </c>
      <c r="C47" s="188" t="s">
        <v>3</v>
      </c>
      <c r="D47" s="54"/>
      <c r="E47" s="9"/>
      <c r="F47" s="122">
        <f t="shared" si="4"/>
        <v>0</v>
      </c>
      <c r="G47" s="54"/>
      <c r="H47" s="9"/>
      <c r="I47" s="511">
        <f t="shared" si="3"/>
        <v>0</v>
      </c>
    </row>
    <row r="48" spans="1:9">
      <c r="A48" s="190" t="s">
        <v>299</v>
      </c>
      <c r="B48" s="197" t="s">
        <v>126</v>
      </c>
      <c r="C48" s="188" t="s">
        <v>3</v>
      </c>
      <c r="D48" s="54">
        <v>4</v>
      </c>
      <c r="E48" s="9"/>
      <c r="F48" s="122">
        <f t="shared" si="4"/>
        <v>4</v>
      </c>
      <c r="G48" s="54">
        <v>6</v>
      </c>
      <c r="H48" s="9"/>
      <c r="I48" s="511">
        <f t="shared" si="3"/>
        <v>6</v>
      </c>
    </row>
    <row r="49" spans="1:9">
      <c r="A49" s="190" t="s">
        <v>300</v>
      </c>
      <c r="B49" s="198" t="s">
        <v>315</v>
      </c>
      <c r="C49" s="188" t="s">
        <v>3</v>
      </c>
      <c r="D49" s="54"/>
      <c r="E49" s="9"/>
      <c r="F49" s="122">
        <f t="shared" si="4"/>
        <v>0</v>
      </c>
      <c r="G49" s="54"/>
      <c r="H49" s="9"/>
      <c r="I49" s="511">
        <f t="shared" si="3"/>
        <v>0</v>
      </c>
    </row>
    <row r="50" spans="1:9">
      <c r="A50" s="190" t="s">
        <v>301</v>
      </c>
      <c r="B50" s="199" t="s">
        <v>117</v>
      </c>
      <c r="C50" s="188" t="s">
        <v>3</v>
      </c>
      <c r="D50" s="54"/>
      <c r="E50" s="9"/>
      <c r="F50" s="123">
        <f t="shared" si="4"/>
        <v>0</v>
      </c>
      <c r="G50" s="54"/>
      <c r="H50" s="64"/>
      <c r="I50" s="191">
        <f t="shared" si="3"/>
        <v>0</v>
      </c>
    </row>
    <row r="51" spans="1:9">
      <c r="A51" s="190" t="s">
        <v>302</v>
      </c>
      <c r="B51" s="199"/>
      <c r="C51" s="188" t="s">
        <v>3</v>
      </c>
      <c r="D51" s="82"/>
      <c r="E51" s="9"/>
      <c r="F51" s="122">
        <f t="shared" si="4"/>
        <v>0</v>
      </c>
      <c r="G51" s="82"/>
      <c r="H51" s="9"/>
      <c r="I51" s="511">
        <f t="shared" si="3"/>
        <v>0</v>
      </c>
    </row>
    <row r="52" spans="1:9">
      <c r="A52" s="190" t="s">
        <v>303</v>
      </c>
      <c r="B52" s="200"/>
      <c r="C52" s="188"/>
      <c r="D52" s="54"/>
      <c r="E52" s="9"/>
      <c r="F52" s="122"/>
      <c r="G52" s="54"/>
      <c r="H52" s="9"/>
      <c r="I52" s="511"/>
    </row>
    <row r="53" spans="1:9">
      <c r="A53" s="190" t="s">
        <v>305</v>
      </c>
      <c r="B53" s="200"/>
      <c r="C53" s="188"/>
      <c r="D53" s="54"/>
      <c r="E53" s="9"/>
      <c r="F53" s="122"/>
      <c r="G53" s="54"/>
      <c r="H53" s="9"/>
      <c r="I53" s="511"/>
    </row>
    <row r="54" spans="1:9">
      <c r="A54" s="190" t="s">
        <v>306</v>
      </c>
      <c r="B54" s="200"/>
      <c r="C54" s="188"/>
      <c r="D54" s="54"/>
      <c r="E54" s="9"/>
      <c r="F54" s="122"/>
      <c r="G54" s="54"/>
      <c r="H54" s="9"/>
      <c r="I54" s="511"/>
    </row>
    <row r="55" spans="1:9">
      <c r="A55" s="190" t="s">
        <v>307</v>
      </c>
      <c r="B55" s="200"/>
      <c r="C55" s="188"/>
      <c r="D55" s="54"/>
      <c r="E55" s="9"/>
      <c r="F55" s="122"/>
      <c r="G55" s="54"/>
      <c r="H55" s="9"/>
      <c r="I55" s="511"/>
    </row>
    <row r="56" spans="1:9">
      <c r="A56" s="190" t="s">
        <v>308</v>
      </c>
      <c r="B56" s="200"/>
      <c r="C56" s="188"/>
      <c r="D56" s="54"/>
      <c r="E56" s="9"/>
      <c r="F56" s="122"/>
      <c r="G56" s="54"/>
      <c r="H56" s="9"/>
      <c r="I56" s="511"/>
    </row>
    <row r="57" spans="1:9">
      <c r="A57" s="190" t="s">
        <v>309</v>
      </c>
      <c r="B57" s="200"/>
      <c r="C57" s="188"/>
      <c r="D57" s="54"/>
      <c r="E57" s="9"/>
      <c r="F57" s="122"/>
      <c r="G57" s="54"/>
      <c r="H57" s="9"/>
      <c r="I57" s="511"/>
    </row>
    <row r="58" spans="1:9" ht="25.5">
      <c r="A58" s="186">
        <v>8</v>
      </c>
      <c r="B58" s="201" t="s">
        <v>95</v>
      </c>
      <c r="C58" s="188" t="s">
        <v>96</v>
      </c>
      <c r="D58" s="54"/>
      <c r="E58" s="9"/>
      <c r="F58" s="122">
        <f t="shared" si="2"/>
        <v>0</v>
      </c>
      <c r="G58" s="54"/>
      <c r="H58" s="9"/>
      <c r="I58" s="511">
        <f t="shared" ref="I58:I68" si="5">SUM(G58:H58)</f>
        <v>0</v>
      </c>
    </row>
    <row r="59" spans="1:9">
      <c r="A59" s="186">
        <v>9</v>
      </c>
      <c r="B59" s="202" t="s">
        <v>88</v>
      </c>
      <c r="C59" s="188" t="s">
        <v>3</v>
      </c>
      <c r="D59" s="54"/>
      <c r="E59" s="9"/>
      <c r="F59" s="122">
        <f t="shared" si="2"/>
        <v>0</v>
      </c>
      <c r="G59" s="54"/>
      <c r="H59" s="9"/>
      <c r="I59" s="511">
        <f t="shared" si="5"/>
        <v>0</v>
      </c>
    </row>
    <row r="60" spans="1:9">
      <c r="A60" s="186">
        <v>10</v>
      </c>
      <c r="B60" s="202" t="s">
        <v>99</v>
      </c>
      <c r="C60" s="188" t="s">
        <v>3</v>
      </c>
      <c r="D60" s="54"/>
      <c r="E60" s="9"/>
      <c r="F60" s="122">
        <f t="shared" si="2"/>
        <v>0</v>
      </c>
      <c r="G60" s="54"/>
      <c r="H60" s="9"/>
      <c r="I60" s="511">
        <f t="shared" si="5"/>
        <v>0</v>
      </c>
    </row>
    <row r="61" spans="1:9" s="204" customFormat="1">
      <c r="A61" s="168" t="s">
        <v>145</v>
      </c>
      <c r="B61" s="203" t="s">
        <v>8</v>
      </c>
      <c r="C61" s="183" t="s">
        <v>3</v>
      </c>
      <c r="D61" s="171">
        <f>SUM(D62,D78:D79,D82,D85)</f>
        <v>1296</v>
      </c>
      <c r="E61" s="171">
        <f>SUM(E62,E78:E85)</f>
        <v>0</v>
      </c>
      <c r="F61" s="171">
        <f t="shared" si="2"/>
        <v>1296</v>
      </c>
      <c r="G61" s="171">
        <f>SUM(G62,G78:G79,G82,G85)</f>
        <v>3401</v>
      </c>
      <c r="H61" s="171">
        <f>SUM(H62,H78:H85)</f>
        <v>0</v>
      </c>
      <c r="I61" s="172">
        <f t="shared" si="5"/>
        <v>3401</v>
      </c>
    </row>
    <row r="62" spans="1:9">
      <c r="A62" s="205">
        <v>1</v>
      </c>
      <c r="B62" s="206" t="s">
        <v>434</v>
      </c>
      <c r="C62" s="196" t="s">
        <v>3</v>
      </c>
      <c r="D62" s="122">
        <f>SUM(D63,D69,D75:D77)</f>
        <v>1202</v>
      </c>
      <c r="E62" s="122">
        <f>SUM(E63,E69,E75:E77)</f>
        <v>0</v>
      </c>
      <c r="F62" s="122">
        <f>SUM(D62:E62)</f>
        <v>1202</v>
      </c>
      <c r="G62" s="122">
        <f>SUM(G63,G69,G75:G77)</f>
        <v>3212</v>
      </c>
      <c r="H62" s="122">
        <f>SUM(H63,H69,H75:H77)</f>
        <v>0</v>
      </c>
      <c r="I62" s="511">
        <f t="shared" si="5"/>
        <v>3212</v>
      </c>
    </row>
    <row r="63" spans="1:9" s="209" customFormat="1" ht="25.5">
      <c r="A63" s="207" t="s">
        <v>83</v>
      </c>
      <c r="B63" s="208" t="s">
        <v>526</v>
      </c>
      <c r="C63" s="196" t="s">
        <v>3</v>
      </c>
      <c r="D63" s="123">
        <f>SUM(D64:D68)</f>
        <v>1091</v>
      </c>
      <c r="E63" s="123"/>
      <c r="F63" s="123">
        <f t="shared" si="2"/>
        <v>1091</v>
      </c>
      <c r="G63" s="123">
        <v>2970</v>
      </c>
      <c r="H63" s="123"/>
      <c r="I63" s="191">
        <f t="shared" si="5"/>
        <v>2970</v>
      </c>
    </row>
    <row r="64" spans="1:9">
      <c r="A64" s="207" t="s">
        <v>320</v>
      </c>
      <c r="B64" s="210" t="s">
        <v>9</v>
      </c>
      <c r="C64" s="196" t="s">
        <v>3</v>
      </c>
      <c r="D64" s="123">
        <v>1091</v>
      </c>
      <c r="E64" s="123"/>
      <c r="F64" s="123">
        <f t="shared" si="2"/>
        <v>1091</v>
      </c>
      <c r="G64" s="123">
        <v>2970</v>
      </c>
      <c r="H64" s="123"/>
      <c r="I64" s="191">
        <f t="shared" si="5"/>
        <v>2970</v>
      </c>
    </row>
    <row r="65" spans="1:9">
      <c r="A65" s="207" t="s">
        <v>321</v>
      </c>
      <c r="B65" s="210" t="s">
        <v>10</v>
      </c>
      <c r="C65" s="196" t="s">
        <v>3</v>
      </c>
      <c r="D65" s="123">
        <f>ROUND('ТИП-ПРОИЗ'!E34*'ТИП-ПРОИЗ'!E87/1000,3)</f>
        <v>0</v>
      </c>
      <c r="E65" s="123"/>
      <c r="F65" s="123">
        <f t="shared" si="2"/>
        <v>0</v>
      </c>
      <c r="G65" s="123">
        <f>ROUND('ТИП-ПРОИЗ'!F34*'ТИП-ПРОИЗ'!F87/1000,3)</f>
        <v>0</v>
      </c>
      <c r="H65" s="123"/>
      <c r="I65" s="191">
        <f t="shared" si="5"/>
        <v>0</v>
      </c>
    </row>
    <row r="66" spans="1:9">
      <c r="A66" s="207" t="s">
        <v>322</v>
      </c>
      <c r="B66" s="210" t="s">
        <v>12</v>
      </c>
      <c r="C66" s="196" t="s">
        <v>3</v>
      </c>
      <c r="D66" s="123">
        <f>ROUND('ТИП-ПРОИЗ'!E35*'ТИП-ПРОИЗ'!E88/1000,3)</f>
        <v>0</v>
      </c>
      <c r="E66" s="123"/>
      <c r="F66" s="123">
        <f t="shared" si="2"/>
        <v>0</v>
      </c>
      <c r="G66" s="123">
        <f>ROUND('ТИП-ПРОИЗ'!F35*'ТИП-ПРОИЗ'!F88/1000,3)</f>
        <v>0</v>
      </c>
      <c r="H66" s="123"/>
      <c r="I66" s="191">
        <f t="shared" si="5"/>
        <v>0</v>
      </c>
    </row>
    <row r="67" spans="1:9">
      <c r="A67" s="207" t="s">
        <v>323</v>
      </c>
      <c r="B67" s="210" t="s">
        <v>11</v>
      </c>
      <c r="C67" s="196" t="s">
        <v>3</v>
      </c>
      <c r="D67" s="123">
        <f>ROUND('ТИП-ПРОИЗ'!E36*'ТИП-ПРОИЗ'!E89/1000,3)</f>
        <v>0</v>
      </c>
      <c r="E67" s="123"/>
      <c r="F67" s="123">
        <f t="shared" si="2"/>
        <v>0</v>
      </c>
      <c r="G67" s="123">
        <f>ROUND('ТИП-ПРОИЗ'!F36*'ТИП-ПРОИЗ'!F89/1000,3)</f>
        <v>0</v>
      </c>
      <c r="H67" s="123"/>
      <c r="I67" s="191">
        <f t="shared" si="5"/>
        <v>0</v>
      </c>
    </row>
    <row r="68" spans="1:9">
      <c r="A68" s="207" t="s">
        <v>719</v>
      </c>
      <c r="B68" s="210" t="str">
        <f>'ТИП-ПРОИЗ'!B79</f>
        <v>друг вид гориво (ВЕИ)</v>
      </c>
      <c r="C68" s="196" t="s">
        <v>3</v>
      </c>
      <c r="D68" s="123">
        <f>ROUND('ТИП-ПРОИЗ'!E37*'ТИП-ПРОИЗ'!E90/1000,3)</f>
        <v>0</v>
      </c>
      <c r="E68" s="123"/>
      <c r="F68" s="123">
        <f t="shared" si="2"/>
        <v>0</v>
      </c>
      <c r="G68" s="123">
        <f>ROUND('ТИП-ПРОИЗ'!F37*'ТИП-ПРОИЗ'!F90/1000,3)</f>
        <v>0</v>
      </c>
      <c r="H68" s="123"/>
      <c r="I68" s="191">
        <f t="shared" si="5"/>
        <v>0</v>
      </c>
    </row>
    <row r="69" spans="1:9" s="209" customFormat="1" ht="25.5" customHeight="1">
      <c r="A69" s="207" t="s">
        <v>84</v>
      </c>
      <c r="B69" s="211" t="s">
        <v>525</v>
      </c>
      <c r="C69" s="196" t="s">
        <v>3</v>
      </c>
      <c r="D69" s="123">
        <f>SUM(D70:D74)</f>
        <v>0</v>
      </c>
      <c r="E69" s="123"/>
      <c r="F69" s="123">
        <f t="shared" ref="F69:F74" si="6">SUM(D69:E69)</f>
        <v>0</v>
      </c>
      <c r="G69" s="123">
        <f>SUM(G70:G74)</f>
        <v>0</v>
      </c>
      <c r="H69" s="123"/>
      <c r="I69" s="191">
        <f t="shared" ref="I69:I74" si="7">SUM(G69:H69)</f>
        <v>0</v>
      </c>
    </row>
    <row r="70" spans="1:9">
      <c r="A70" s="207" t="s">
        <v>516</v>
      </c>
      <c r="B70" s="210" t="s">
        <v>9</v>
      </c>
      <c r="C70" s="196" t="s">
        <v>3</v>
      </c>
      <c r="D70" s="123">
        <f>ROUND('ТИП-ПРОИЗ'!E50*'ТИП-ПРОИЗ'!E86/1000,3)</f>
        <v>0</v>
      </c>
      <c r="E70" s="123"/>
      <c r="F70" s="123">
        <f t="shared" si="6"/>
        <v>0</v>
      </c>
      <c r="G70" s="123">
        <f>ROUND('ТИП-ПРОИЗ'!F50*'ТИП-ПРОИЗ'!F86/1000,3)</f>
        <v>0</v>
      </c>
      <c r="H70" s="123"/>
      <c r="I70" s="191">
        <f t="shared" si="7"/>
        <v>0</v>
      </c>
    </row>
    <row r="71" spans="1:9">
      <c r="A71" s="207" t="s">
        <v>517</v>
      </c>
      <c r="B71" s="210" t="s">
        <v>10</v>
      </c>
      <c r="C71" s="196" t="s">
        <v>3</v>
      </c>
      <c r="D71" s="123">
        <f>ROUND('ТИП-ПРОИЗ'!E51*'ТИП-ПРОИЗ'!E87/1000,3)</f>
        <v>0</v>
      </c>
      <c r="E71" s="123"/>
      <c r="F71" s="123">
        <f t="shared" si="6"/>
        <v>0</v>
      </c>
      <c r="G71" s="123">
        <f>ROUND('ТИП-ПРОИЗ'!F51*'ТИП-ПРОИЗ'!F87/1000,3)</f>
        <v>0</v>
      </c>
      <c r="H71" s="123"/>
      <c r="I71" s="191">
        <f t="shared" si="7"/>
        <v>0</v>
      </c>
    </row>
    <row r="72" spans="1:9">
      <c r="A72" s="207" t="s">
        <v>518</v>
      </c>
      <c r="B72" s="210" t="s">
        <v>12</v>
      </c>
      <c r="C72" s="196" t="s">
        <v>3</v>
      </c>
      <c r="D72" s="123">
        <f>ROUND('ТИП-ПРОИЗ'!E52*'ТИП-ПРОИЗ'!E88/1000,3)</f>
        <v>0</v>
      </c>
      <c r="E72" s="123"/>
      <c r="F72" s="123">
        <f t="shared" si="6"/>
        <v>0</v>
      </c>
      <c r="G72" s="123">
        <f>ROUND('ТИП-ПРОИЗ'!F52*'ТИП-ПРОИЗ'!F88/1000,3)</f>
        <v>0</v>
      </c>
      <c r="H72" s="123"/>
      <c r="I72" s="191">
        <f t="shared" si="7"/>
        <v>0</v>
      </c>
    </row>
    <row r="73" spans="1:9">
      <c r="A73" s="207" t="s">
        <v>519</v>
      </c>
      <c r="B73" s="210" t="s">
        <v>11</v>
      </c>
      <c r="C73" s="196" t="s">
        <v>3</v>
      </c>
      <c r="D73" s="123">
        <f>ROUND('ТИП-ПРОИЗ'!E53*'ТИП-ПРОИЗ'!E89/1000,3)</f>
        <v>0</v>
      </c>
      <c r="E73" s="123"/>
      <c r="F73" s="123">
        <f t="shared" si="6"/>
        <v>0</v>
      </c>
      <c r="G73" s="123">
        <f>ROUND('ТИП-ПРОИЗ'!F53*'ТИП-ПРОИЗ'!F89/1000,3)</f>
        <v>0</v>
      </c>
      <c r="H73" s="123"/>
      <c r="I73" s="191">
        <f t="shared" si="7"/>
        <v>0</v>
      </c>
    </row>
    <row r="74" spans="1:9">
      <c r="A74" s="207" t="s">
        <v>720</v>
      </c>
      <c r="B74" s="210" t="str">
        <f>'ТИП-ПРОИЗ'!B54</f>
        <v>друг вид гориво (ВЕИ)</v>
      </c>
      <c r="C74" s="196" t="s">
        <v>3</v>
      </c>
      <c r="D74" s="123">
        <f>ROUND('ТИП-ПРОИЗ'!E54*'ТИП-ПРОИЗ'!E90/1000,3)</f>
        <v>0</v>
      </c>
      <c r="E74" s="123"/>
      <c r="F74" s="123">
        <f t="shared" si="6"/>
        <v>0</v>
      </c>
      <c r="G74" s="123">
        <f>ROUND('ТИП-ПРОИЗ'!F54*'ТИП-ПРОИЗ'!F90/1000,3)</f>
        <v>0</v>
      </c>
      <c r="H74" s="123"/>
      <c r="I74" s="191">
        <f t="shared" si="7"/>
        <v>0</v>
      </c>
    </row>
    <row r="75" spans="1:9">
      <c r="A75" s="207" t="s">
        <v>101</v>
      </c>
      <c r="B75" s="212" t="s">
        <v>13</v>
      </c>
      <c r="C75" s="196" t="s">
        <v>3</v>
      </c>
      <c r="D75" s="82">
        <v>56</v>
      </c>
      <c r="E75" s="65"/>
      <c r="F75" s="123">
        <f t="shared" si="2"/>
        <v>56</v>
      </c>
      <c r="G75" s="82">
        <v>175</v>
      </c>
      <c r="H75" s="65"/>
      <c r="I75" s="191">
        <f t="shared" ref="I75:I85" si="8">SUM(G75:H75)</f>
        <v>175</v>
      </c>
    </row>
    <row r="76" spans="1:9">
      <c r="A76" s="207" t="s">
        <v>102</v>
      </c>
      <c r="B76" s="212" t="s">
        <v>310</v>
      </c>
      <c r="C76" s="196" t="s">
        <v>3</v>
      </c>
      <c r="D76" s="82">
        <v>44</v>
      </c>
      <c r="E76" s="65"/>
      <c r="F76" s="123">
        <f t="shared" si="2"/>
        <v>44</v>
      </c>
      <c r="G76" s="82">
        <v>46</v>
      </c>
      <c r="H76" s="65"/>
      <c r="I76" s="191">
        <f t="shared" si="8"/>
        <v>46</v>
      </c>
    </row>
    <row r="77" spans="1:9">
      <c r="A77" s="207" t="s">
        <v>520</v>
      </c>
      <c r="B77" s="212" t="s">
        <v>131</v>
      </c>
      <c r="C77" s="196" t="s">
        <v>3</v>
      </c>
      <c r="D77" s="82">
        <v>11</v>
      </c>
      <c r="E77" s="65"/>
      <c r="F77" s="123">
        <f t="shared" si="2"/>
        <v>11</v>
      </c>
      <c r="G77" s="82">
        <v>21</v>
      </c>
      <c r="H77" s="65"/>
      <c r="I77" s="191">
        <f t="shared" si="8"/>
        <v>21</v>
      </c>
    </row>
    <row r="78" spans="1:9">
      <c r="A78" s="213">
        <v>2</v>
      </c>
      <c r="B78" s="212" t="s">
        <v>100</v>
      </c>
      <c r="C78" s="196" t="s">
        <v>3</v>
      </c>
      <c r="D78" s="65">
        <v>50</v>
      </c>
      <c r="E78" s="65"/>
      <c r="F78" s="123">
        <f t="shared" si="2"/>
        <v>50</v>
      </c>
      <c r="G78" s="65">
        <v>69</v>
      </c>
      <c r="H78" s="65"/>
      <c r="I78" s="191">
        <f t="shared" si="8"/>
        <v>69</v>
      </c>
    </row>
    <row r="79" spans="1:9">
      <c r="A79" s="214" t="s">
        <v>428</v>
      </c>
      <c r="B79" s="215" t="s">
        <v>523</v>
      </c>
      <c r="C79" s="216" t="s">
        <v>3</v>
      </c>
      <c r="D79" s="217">
        <f>SUM(D80,D81)</f>
        <v>44</v>
      </c>
      <c r="E79" s="218"/>
      <c r="F79" s="219">
        <f t="shared" ref="F79:F85" si="9">SUM(D79:E79)</f>
        <v>44</v>
      </c>
      <c r="G79" s="217">
        <v>120</v>
      </c>
      <c r="H79" s="218"/>
      <c r="I79" s="220">
        <v>120</v>
      </c>
    </row>
    <row r="80" spans="1:9">
      <c r="A80" s="221" t="s">
        <v>261</v>
      </c>
      <c r="B80" s="210" t="s">
        <v>521</v>
      </c>
      <c r="C80" s="196" t="s">
        <v>3</v>
      </c>
      <c r="D80" s="123">
        <v>44</v>
      </c>
      <c r="E80" s="123"/>
      <c r="F80" s="123">
        <f t="shared" si="9"/>
        <v>44</v>
      </c>
      <c r="G80" s="123">
        <v>120</v>
      </c>
      <c r="H80" s="123"/>
      <c r="I80" s="191">
        <f>SUM(G80:H80)</f>
        <v>120</v>
      </c>
    </row>
    <row r="81" spans="1:9">
      <c r="A81" s="221" t="s">
        <v>262</v>
      </c>
      <c r="B81" s="210" t="s">
        <v>522</v>
      </c>
      <c r="C81" s="196" t="s">
        <v>3</v>
      </c>
      <c r="D81" s="123">
        <f>ROUND('ТИП-ПРОИЗ'!E55*'ТИП-ПРОИЗ'!$B55/1000,3)</f>
        <v>0</v>
      </c>
      <c r="E81" s="123"/>
      <c r="F81" s="123">
        <f t="shared" si="9"/>
        <v>0</v>
      </c>
      <c r="G81" s="123">
        <f>ROUND('ТИП-ПРОИЗ'!F55*'ТИП-ПРОИЗ'!$B55/1000,3)</f>
        <v>0</v>
      </c>
      <c r="H81" s="123"/>
      <c r="I81" s="191">
        <f>SUM(G81:H81)</f>
        <v>0</v>
      </c>
    </row>
    <row r="82" spans="1:9" ht="25.5">
      <c r="A82" s="207" t="s">
        <v>429</v>
      </c>
      <c r="B82" s="222" t="s">
        <v>524</v>
      </c>
      <c r="C82" s="196" t="s">
        <v>3</v>
      </c>
      <c r="D82" s="217">
        <f>SUM(D83:D84)</f>
        <v>0</v>
      </c>
      <c r="E82" s="218"/>
      <c r="F82" s="219">
        <f t="shared" si="9"/>
        <v>0</v>
      </c>
      <c r="G82" s="217">
        <f>SUM(G83:G84)</f>
        <v>0</v>
      </c>
      <c r="H82" s="218"/>
      <c r="I82" s="220">
        <f>SUM(G82:H82)</f>
        <v>0</v>
      </c>
    </row>
    <row r="83" spans="1:9" ht="25.5">
      <c r="A83" s="207" t="s">
        <v>251</v>
      </c>
      <c r="B83" s="222" t="s">
        <v>527</v>
      </c>
      <c r="C83" s="196" t="s">
        <v>3</v>
      </c>
      <c r="D83" s="217">
        <f>'ТИП-ПРОИЗ'!$B39*'ТИП-ПРОИЗ'!E39/1000</f>
        <v>0</v>
      </c>
      <c r="F83" s="218"/>
      <c r="G83" s="217">
        <f>'ТИП-ПРОИЗ'!$B39*'ТИП-ПРОИЗ'!F39/1000</f>
        <v>0</v>
      </c>
      <c r="H83" s="218"/>
      <c r="I83" s="220">
        <f>SUM(G83:H83)</f>
        <v>0</v>
      </c>
    </row>
    <row r="84" spans="1:9" ht="25.5">
      <c r="A84" s="207" t="s">
        <v>252</v>
      </c>
      <c r="B84" s="222" t="s">
        <v>528</v>
      </c>
      <c r="C84" s="196" t="s">
        <v>3</v>
      </c>
      <c r="D84" s="217">
        <f>'ТИП-ПРОИЗ'!$B56*'ТИП-ПРОИЗ'!E56/1000</f>
        <v>0</v>
      </c>
      <c r="E84" s="218"/>
      <c r="F84" s="219">
        <f t="shared" si="9"/>
        <v>0</v>
      </c>
      <c r="G84" s="217">
        <f>'ТИП-ПРОИЗ'!$B56*'ТИП-ПРОИЗ'!F56/1000</f>
        <v>0</v>
      </c>
      <c r="H84" s="218"/>
      <c r="I84" s="220">
        <f t="shared" si="8"/>
        <v>0</v>
      </c>
    </row>
    <row r="85" spans="1:9" ht="26.25" thickBot="1">
      <c r="A85" s="223" t="s">
        <v>430</v>
      </c>
      <c r="B85" s="224" t="s">
        <v>427</v>
      </c>
      <c r="C85" s="225" t="s">
        <v>3</v>
      </c>
      <c r="D85" s="226">
        <f>'ТИП-ПРОИЗ'!E98*'ТИП-ПРОИЗ'!E100/1000</f>
        <v>0</v>
      </c>
      <c r="E85" s="227"/>
      <c r="F85" s="226">
        <f t="shared" si="9"/>
        <v>0</v>
      </c>
      <c r="G85" s="226">
        <f>'ТИП-ПРОИЗ'!F98*'ТИП-ПРОИЗ'!F100/1000</f>
        <v>0</v>
      </c>
      <c r="H85" s="227"/>
      <c r="I85" s="228">
        <f t="shared" si="8"/>
        <v>0</v>
      </c>
    </row>
    <row r="86" spans="1:9" ht="13.5" thickTop="1"/>
    <row r="87" spans="1:9">
      <c r="A87" s="229" t="s">
        <v>128</v>
      </c>
      <c r="B87" s="230"/>
      <c r="C87" s="231"/>
      <c r="D87" s="232"/>
      <c r="E87" s="232"/>
      <c r="F87" s="233"/>
      <c r="G87" s="233"/>
      <c r="H87" s="233"/>
      <c r="I87" s="233"/>
    </row>
    <row r="88" spans="1:9">
      <c r="A88" s="134" t="s">
        <v>129</v>
      </c>
    </row>
    <row r="89" spans="1:9">
      <c r="A89" s="134" t="s">
        <v>130</v>
      </c>
    </row>
    <row r="90" spans="1:9"/>
    <row r="91" spans="1:9">
      <c r="A91" s="134" t="s">
        <v>254</v>
      </c>
      <c r="D91" s="419"/>
      <c r="E91" s="496" t="s">
        <v>253</v>
      </c>
      <c r="F91" s="419"/>
      <c r="G91" s="419"/>
      <c r="H91" s="419"/>
      <c r="I91" s="419"/>
    </row>
    <row r="92" spans="1:9">
      <c r="D92" s="419"/>
      <c r="E92" s="419"/>
      <c r="F92" s="419"/>
      <c r="G92" s="419"/>
      <c r="H92" s="419"/>
      <c r="I92" s="419"/>
    </row>
    <row r="93" spans="1:9">
      <c r="A93" s="204"/>
      <c r="B93" s="419" t="s">
        <v>767</v>
      </c>
      <c r="D93" s="419"/>
      <c r="E93" s="419"/>
      <c r="F93" s="686" t="s">
        <v>768</v>
      </c>
      <c r="G93" s="686"/>
      <c r="H93" s="686"/>
      <c r="I93" s="686"/>
    </row>
    <row r="94" spans="1:9"/>
    <row r="95" spans="1:9" hidden="1"/>
    <row r="96" spans="1:9" hidden="1">
      <c r="A96" s="234"/>
      <c r="B96" s="235"/>
      <c r="C96" s="234"/>
      <c r="D96" s="234"/>
      <c r="E96" s="234"/>
      <c r="F96" s="234"/>
      <c r="G96" s="234"/>
      <c r="H96" s="234"/>
      <c r="I96" s="234"/>
    </row>
    <row r="97" spans="1:9" hidden="1">
      <c r="A97" s="234"/>
      <c r="B97" s="235"/>
      <c r="C97" s="234"/>
      <c r="D97" s="234"/>
      <c r="E97" s="234"/>
      <c r="F97" s="234"/>
      <c r="G97" s="234"/>
      <c r="H97" s="234"/>
      <c r="I97" s="234"/>
    </row>
    <row r="98" spans="1:9" hidden="1"/>
    <row r="99" spans="1:9" hidden="1"/>
    <row r="100" spans="1:9" hidden="1">
      <c r="B100" s="236"/>
    </row>
    <row r="101" spans="1:9" hidden="1">
      <c r="B101" s="108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abSelected="1" topLeftCell="A64" workbookViewId="0">
      <selection activeCell="H13" sqref="H13:I13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0" t="s">
        <v>176</v>
      </c>
      <c r="C1" s="740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41" t="s">
        <v>765</v>
      </c>
      <c r="C2" s="741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05" t="s">
        <v>0</v>
      </c>
      <c r="B4" s="707" t="s">
        <v>132</v>
      </c>
      <c r="C4" s="709" t="s">
        <v>2</v>
      </c>
      <c r="D4" s="730" t="s">
        <v>761</v>
      </c>
      <c r="E4" s="730"/>
      <c r="F4" s="730"/>
      <c r="G4" s="731" t="s">
        <v>763</v>
      </c>
      <c r="H4" s="731"/>
      <c r="I4" s="732"/>
    </row>
    <row r="5" spans="1:9" s="3" customFormat="1" ht="35.25" customHeight="1">
      <c r="A5" s="706"/>
      <c r="B5" s="708"/>
      <c r="C5" s="710"/>
      <c r="D5" s="25" t="s">
        <v>150</v>
      </c>
      <c r="E5" s="726" t="s">
        <v>148</v>
      </c>
      <c r="F5" s="726"/>
      <c r="G5" s="25" t="s">
        <v>150</v>
      </c>
      <c r="H5" s="726" t="s">
        <v>148</v>
      </c>
      <c r="I5" s="727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1466</v>
      </c>
      <c r="E6" s="728">
        <f>SUM(E7,E14)</f>
        <v>423</v>
      </c>
      <c r="F6" s="728"/>
      <c r="G6" s="27">
        <f>SUM(G7,G14)</f>
        <v>2966</v>
      </c>
      <c r="H6" s="728">
        <f>SUM(H7,H14)</f>
        <v>317</v>
      </c>
      <c r="I6" s="729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1466</v>
      </c>
      <c r="E7" s="720">
        <f>SUM(E8:F13)</f>
        <v>423</v>
      </c>
      <c r="F7" s="720"/>
      <c r="G7" s="28">
        <f>SUM(G8:G13)</f>
        <v>2966</v>
      </c>
      <c r="H7" s="720">
        <f>SUM(H8:I13)</f>
        <v>317</v>
      </c>
      <c r="I7" s="721"/>
    </row>
    <row r="8" spans="1:9" s="3" customFormat="1">
      <c r="A8" s="26"/>
      <c r="B8" s="8" t="s">
        <v>135</v>
      </c>
      <c r="C8" s="12" t="s">
        <v>3</v>
      </c>
      <c r="D8" s="102">
        <v>78</v>
      </c>
      <c r="E8" s="733"/>
      <c r="F8" s="734"/>
      <c r="G8" s="29">
        <v>78</v>
      </c>
      <c r="H8" s="733"/>
      <c r="I8" s="738"/>
    </row>
    <row r="9" spans="1:9" s="3" customFormat="1">
      <c r="A9" s="26"/>
      <c r="B9" s="8" t="s">
        <v>136</v>
      </c>
      <c r="C9" s="12" t="s">
        <v>3</v>
      </c>
      <c r="D9" s="102">
        <v>297</v>
      </c>
      <c r="E9" s="733">
        <v>14</v>
      </c>
      <c r="F9" s="734"/>
      <c r="G9" s="29">
        <v>297</v>
      </c>
      <c r="H9" s="733">
        <v>14</v>
      </c>
      <c r="I9" s="738"/>
    </row>
    <row r="10" spans="1:9" s="3" customFormat="1">
      <c r="A10" s="26"/>
      <c r="B10" s="8" t="s">
        <v>137</v>
      </c>
      <c r="C10" s="12" t="s">
        <v>3</v>
      </c>
      <c r="D10" s="102">
        <v>1090</v>
      </c>
      <c r="E10" s="733">
        <v>408</v>
      </c>
      <c r="F10" s="734"/>
      <c r="G10" s="29">
        <v>2590</v>
      </c>
      <c r="H10" s="733">
        <v>302</v>
      </c>
      <c r="I10" s="738"/>
    </row>
    <row r="11" spans="1:9" s="3" customFormat="1">
      <c r="A11" s="26"/>
      <c r="B11" s="8" t="s">
        <v>138</v>
      </c>
      <c r="C11" s="12" t="s">
        <v>3</v>
      </c>
      <c r="D11" s="102">
        <v>1</v>
      </c>
      <c r="E11" s="733">
        <v>1</v>
      </c>
      <c r="F11" s="734"/>
      <c r="G11" s="29">
        <v>1</v>
      </c>
      <c r="H11" s="733">
        <v>1</v>
      </c>
      <c r="I11" s="738"/>
    </row>
    <row r="12" spans="1:9" s="3" customFormat="1">
      <c r="A12" s="26"/>
      <c r="B12" s="8" t="s">
        <v>139</v>
      </c>
      <c r="C12" s="12" t="s">
        <v>3</v>
      </c>
      <c r="D12" s="102"/>
      <c r="E12" s="733"/>
      <c r="F12" s="734"/>
      <c r="G12" s="29"/>
      <c r="H12" s="733"/>
      <c r="I12" s="738"/>
    </row>
    <row r="13" spans="1:9" s="3" customFormat="1">
      <c r="A13" s="26"/>
      <c r="B13" s="8" t="s">
        <v>140</v>
      </c>
      <c r="C13" s="12" t="s">
        <v>3</v>
      </c>
      <c r="D13" s="102"/>
      <c r="E13" s="733"/>
      <c r="F13" s="734"/>
      <c r="G13" s="29"/>
      <c r="H13" s="733"/>
      <c r="I13" s="738"/>
    </row>
    <row r="14" spans="1:9" s="3" customFormat="1">
      <c r="A14" s="26" t="s">
        <v>142</v>
      </c>
      <c r="B14" s="7" t="s">
        <v>174</v>
      </c>
      <c r="C14" s="12" t="s">
        <v>3</v>
      </c>
      <c r="D14" s="102"/>
      <c r="E14" s="733"/>
      <c r="F14" s="734"/>
      <c r="G14" s="29"/>
      <c r="H14" s="733"/>
      <c r="I14" s="738"/>
    </row>
    <row r="15" spans="1:9" s="3" customFormat="1">
      <c r="A15" s="26" t="s">
        <v>143</v>
      </c>
      <c r="B15" s="13" t="s">
        <v>153</v>
      </c>
      <c r="C15" s="12" t="s">
        <v>3</v>
      </c>
      <c r="D15" s="102"/>
      <c r="E15" s="733"/>
      <c r="F15" s="734"/>
      <c r="G15" s="29"/>
      <c r="H15" s="733"/>
      <c r="I15" s="738"/>
    </row>
    <row r="16" spans="1:9" s="3" customFormat="1">
      <c r="A16" s="26" t="s">
        <v>177</v>
      </c>
      <c r="B16" s="30" t="s">
        <v>147</v>
      </c>
      <c r="C16" s="12" t="s">
        <v>3</v>
      </c>
      <c r="D16" s="735">
        <v>580</v>
      </c>
      <c r="E16" s="736"/>
      <c r="F16" s="737"/>
      <c r="G16" s="735">
        <v>540</v>
      </c>
      <c r="H16" s="736"/>
      <c r="I16" s="737"/>
    </row>
    <row r="17" spans="1:36" ht="13.5" thickBot="1">
      <c r="A17" s="31" t="s">
        <v>178</v>
      </c>
      <c r="B17" s="39" t="s">
        <v>146</v>
      </c>
      <c r="C17" s="42" t="s">
        <v>3</v>
      </c>
      <c r="D17" s="697">
        <f>SUM(D6,D16)-SUM(D15,E6)</f>
        <v>1623</v>
      </c>
      <c r="E17" s="697"/>
      <c r="F17" s="697"/>
      <c r="G17" s="697">
        <f>SUM(G6,G16)-SUM(G15,H6)</f>
        <v>3189</v>
      </c>
      <c r="H17" s="697"/>
      <c r="I17" s="698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9">
        <f>IF(G17=0,0,D35/G17)</f>
        <v>1</v>
      </c>
      <c r="B20" s="739"/>
      <c r="C20" s="739"/>
      <c r="D20" s="739"/>
      <c r="E20" s="739"/>
      <c r="F20" s="739"/>
      <c r="G20" s="739"/>
      <c r="H20" s="739"/>
      <c r="I20" s="73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05" t="s">
        <v>0</v>
      </c>
      <c r="B22" s="707" t="s">
        <v>132</v>
      </c>
      <c r="C22" s="709" t="s">
        <v>2</v>
      </c>
      <c r="D22" s="723" t="s">
        <v>283</v>
      </c>
      <c r="E22" s="723"/>
      <c r="F22" s="723"/>
      <c r="G22" s="724" t="s">
        <v>85</v>
      </c>
      <c r="H22" s="724"/>
      <c r="I22" s="72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06"/>
      <c r="B23" s="708"/>
      <c r="C23" s="710"/>
      <c r="D23" s="25" t="s">
        <v>150</v>
      </c>
      <c r="E23" s="726" t="s">
        <v>148</v>
      </c>
      <c r="F23" s="726"/>
      <c r="G23" s="25" t="s">
        <v>150</v>
      </c>
      <c r="H23" s="726" t="s">
        <v>148</v>
      </c>
      <c r="I23" s="72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680">
        <f>SUM(D25,D32)</f>
        <v>2966</v>
      </c>
      <c r="E24" s="728">
        <f>SUM(E25,E32)</f>
        <v>317</v>
      </c>
      <c r="F24" s="729"/>
      <c r="G24" s="27"/>
      <c r="H24" s="728"/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681">
        <f>SUM(D26:D31)</f>
        <v>2966</v>
      </c>
      <c r="E25" s="720">
        <f>SUM(E26:F31)</f>
        <v>317</v>
      </c>
      <c r="F25" s="721"/>
      <c r="G25" s="28"/>
      <c r="H25" s="720"/>
      <c r="I25" s="72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679">
        <v>78</v>
      </c>
      <c r="E26" s="715"/>
      <c r="F26" s="716"/>
      <c r="G26" s="29"/>
      <c r="H26" s="715"/>
      <c r="I26" s="71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679">
        <v>297</v>
      </c>
      <c r="E27" s="715">
        <v>14</v>
      </c>
      <c r="F27" s="716"/>
      <c r="G27" s="29"/>
      <c r="H27" s="715"/>
      <c r="I27" s="71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43">
        <v>2590</v>
      </c>
      <c r="E28" s="715">
        <v>302</v>
      </c>
      <c r="F28" s="716"/>
      <c r="G28" s="43"/>
      <c r="H28" s="715"/>
      <c r="I28" s="71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679">
        <v>1</v>
      </c>
      <c r="E29" s="715">
        <v>1</v>
      </c>
      <c r="F29" s="716"/>
      <c r="G29" s="29"/>
      <c r="H29" s="715"/>
      <c r="I29" s="71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ref="D30:E33" si="0">SUM(G12,-G30)</f>
        <v>0</v>
      </c>
      <c r="E30" s="714">
        <f t="shared" si="0"/>
        <v>0</v>
      </c>
      <c r="F30" s="714"/>
      <c r="G30" s="29"/>
      <c r="H30" s="715"/>
      <c r="I30" s="71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14">
        <f t="shared" si="0"/>
        <v>0</v>
      </c>
      <c r="F31" s="714"/>
      <c r="G31" s="29"/>
      <c r="H31" s="715"/>
      <c r="I31" s="71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14">
        <f t="shared" si="0"/>
        <v>0</v>
      </c>
      <c r="F32" s="714"/>
      <c r="G32" s="43"/>
      <c r="H32" s="715"/>
      <c r="I32" s="71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14">
        <f t="shared" si="0"/>
        <v>0</v>
      </c>
      <c r="F33" s="714"/>
      <c r="G33" s="29"/>
      <c r="H33" s="715"/>
      <c r="I33" s="71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17">
        <v>540</v>
      </c>
      <c r="E34" s="717"/>
      <c r="F34" s="717"/>
      <c r="G34" s="718"/>
      <c r="H34" s="718"/>
      <c r="I34" s="71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697">
        <f>SUM(D24,D34)-SUM(D33,E24)</f>
        <v>3189</v>
      </c>
      <c r="E35" s="697"/>
      <c r="F35" s="697"/>
      <c r="G35" s="697">
        <f>SUM(G24,G34)-SUM(G33,H24)</f>
        <v>0</v>
      </c>
      <c r="H35" s="697"/>
      <c r="I35" s="698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2">
        <f>IF(D35=0,0,D53/D35)</f>
        <v>1</v>
      </c>
      <c r="B38" s="722"/>
      <c r="C38" s="722"/>
      <c r="D38" s="722"/>
      <c r="E38" s="722"/>
      <c r="F38" s="722"/>
      <c r="G38" s="722"/>
      <c r="H38" s="722"/>
      <c r="I38" s="72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05" t="s">
        <v>0</v>
      </c>
      <c r="B40" s="707" t="s">
        <v>132</v>
      </c>
      <c r="C40" s="709" t="s">
        <v>2</v>
      </c>
      <c r="D40" s="723" t="s">
        <v>384</v>
      </c>
      <c r="E40" s="723"/>
      <c r="F40" s="723"/>
      <c r="G40" s="724" t="s">
        <v>385</v>
      </c>
      <c r="H40" s="724"/>
      <c r="I40" s="72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06"/>
      <c r="B41" s="708"/>
      <c r="C41" s="710"/>
      <c r="D41" s="25" t="s">
        <v>150</v>
      </c>
      <c r="E41" s="726" t="s">
        <v>148</v>
      </c>
      <c r="F41" s="726"/>
      <c r="G41" s="25" t="s">
        <v>150</v>
      </c>
      <c r="H41" s="726" t="s">
        <v>148</v>
      </c>
      <c r="I41" s="72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2966</v>
      </c>
      <c r="E42" s="728">
        <f>SUM(E43,E50)</f>
        <v>317</v>
      </c>
      <c r="F42" s="728"/>
      <c r="G42" s="27">
        <f>SUM(G43,G50)</f>
        <v>0</v>
      </c>
      <c r="H42" s="728">
        <f>SUM(H43,H50)</f>
        <v>0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v>2966</v>
      </c>
      <c r="E43" s="720">
        <v>317</v>
      </c>
      <c r="F43" s="720"/>
      <c r="G43" s="28">
        <f>SUM(G44:G49)</f>
        <v>0</v>
      </c>
      <c r="H43" s="720">
        <f>SUM(H44:I49)</f>
        <v>0</v>
      </c>
      <c r="I43" s="72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v>78</v>
      </c>
      <c r="E44" s="714">
        <f t="shared" ref="D44:E51" si="1">SUM(E26,-H44)</f>
        <v>0</v>
      </c>
      <c r="F44" s="714"/>
      <c r="G44" s="29"/>
      <c r="H44" s="715"/>
      <c r="I44" s="71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297</v>
      </c>
      <c r="E45" s="714">
        <v>14</v>
      </c>
      <c r="F45" s="714"/>
      <c r="G45" s="29"/>
      <c r="H45" s="715"/>
      <c r="I45" s="71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v>2590</v>
      </c>
      <c r="E46" s="714">
        <v>305</v>
      </c>
      <c r="F46" s="714"/>
      <c r="G46" s="43"/>
      <c r="H46" s="715"/>
      <c r="I46" s="71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</v>
      </c>
      <c r="E47" s="714">
        <f t="shared" si="1"/>
        <v>1</v>
      </c>
      <c r="F47" s="714"/>
      <c r="G47" s="29"/>
      <c r="H47" s="715"/>
      <c r="I47" s="71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14">
        <f t="shared" si="1"/>
        <v>0</v>
      </c>
      <c r="F48" s="714"/>
      <c r="G48" s="29"/>
      <c r="H48" s="715"/>
      <c r="I48" s="71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14">
        <f t="shared" si="1"/>
        <v>0</v>
      </c>
      <c r="F49" s="714"/>
      <c r="G49" s="29"/>
      <c r="H49" s="715"/>
      <c r="I49" s="71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14">
        <f t="shared" si="1"/>
        <v>0</v>
      </c>
      <c r="F50" s="714"/>
      <c r="G50" s="43"/>
      <c r="H50" s="715"/>
      <c r="I50" s="71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14">
        <f t="shared" si="1"/>
        <v>0</v>
      </c>
      <c r="F51" s="714"/>
      <c r="G51" s="29"/>
      <c r="H51" s="715"/>
      <c r="I51" s="71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17">
        <v>540</v>
      </c>
      <c r="E52" s="717"/>
      <c r="F52" s="717"/>
      <c r="G52" s="718"/>
      <c r="H52" s="718"/>
      <c r="I52" s="71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697">
        <f>SUM(D42,D52)-SUM(D51,E42)</f>
        <v>3189</v>
      </c>
      <c r="E53" s="697"/>
      <c r="F53" s="697"/>
      <c r="G53" s="697">
        <f>SUM(G42,G52)-SUM(G51,H42)</f>
        <v>0</v>
      </c>
      <c r="H53" s="697"/>
      <c r="I53" s="698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4">
        <f>IF(G17=0,0,I69/G17)</f>
        <v>1</v>
      </c>
      <c r="B59" s="704"/>
      <c r="C59" s="704"/>
      <c r="D59" s="704"/>
      <c r="E59" s="704"/>
      <c r="F59" s="704"/>
      <c r="G59" s="704"/>
      <c r="H59" s="704"/>
      <c r="I59" s="70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05" t="s">
        <v>0</v>
      </c>
      <c r="B61" s="707" t="s">
        <v>132</v>
      </c>
      <c r="C61" s="709" t="s">
        <v>2</v>
      </c>
      <c r="D61" s="711" t="str">
        <f>$D$4</f>
        <v>ОТЧЕТ към 31.12.2019 г.</v>
      </c>
      <c r="E61" s="711"/>
      <c r="F61" s="711"/>
      <c r="G61" s="712" t="str">
        <f>$G$4</f>
        <v>ОТЧЕТ към 31.12.2020 г.</v>
      </c>
      <c r="H61" s="712"/>
      <c r="I61" s="71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06"/>
      <c r="B62" s="708"/>
      <c r="C62" s="71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699" t="s">
        <v>154</v>
      </c>
      <c r="B64" s="13" t="s">
        <v>5</v>
      </c>
      <c r="C64" s="12" t="s">
        <v>3</v>
      </c>
      <c r="D64" s="53">
        <f>SUM(D7,-D70,-E70)</f>
        <v>1166</v>
      </c>
      <c r="E64" s="53"/>
      <c r="F64" s="53">
        <f t="shared" ref="F64:F69" si="2">D64</f>
        <v>1166</v>
      </c>
      <c r="G64" s="53">
        <f>SUM(D25,-G70)</f>
        <v>2966</v>
      </c>
      <c r="H64" s="53"/>
      <c r="I64" s="83">
        <f t="shared" ref="I64:I69" si="3">G64</f>
        <v>2966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0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0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0"/>
      <c r="B67" s="13" t="s">
        <v>148</v>
      </c>
      <c r="C67" s="12" t="s">
        <v>94</v>
      </c>
      <c r="D67" s="53">
        <v>220</v>
      </c>
      <c r="E67" s="53"/>
      <c r="F67" s="53">
        <f t="shared" si="2"/>
        <v>220</v>
      </c>
      <c r="G67" s="53">
        <f>SUM(E24,-G73)</f>
        <v>317</v>
      </c>
      <c r="H67" s="53"/>
      <c r="I67" s="83">
        <f t="shared" si="3"/>
        <v>317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0"/>
      <c r="B68" s="13" t="s">
        <v>6</v>
      </c>
      <c r="C68" s="12" t="s">
        <v>3</v>
      </c>
      <c r="D68" s="53">
        <f>SUM(D16,-D74,-E74)</f>
        <v>580</v>
      </c>
      <c r="E68" s="53"/>
      <c r="F68" s="53">
        <f t="shared" si="2"/>
        <v>580</v>
      </c>
      <c r="G68" s="53">
        <f>SUM(D34,-G74)</f>
        <v>540</v>
      </c>
      <c r="H68" s="53"/>
      <c r="I68" s="83">
        <f t="shared" si="3"/>
        <v>540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1"/>
      <c r="B69" s="40" t="s">
        <v>248</v>
      </c>
      <c r="C69" s="10" t="s">
        <v>3</v>
      </c>
      <c r="D69" s="95">
        <f>ROUND(SUM(D64:D65,D68)-D66-D67,3)</f>
        <v>1526</v>
      </c>
      <c r="E69" s="95"/>
      <c r="F69" s="95">
        <f t="shared" si="2"/>
        <v>1526</v>
      </c>
      <c r="G69" s="96">
        <f>ROUND(SUM(G64:G65,G68)-G66-G67,3)</f>
        <v>3189</v>
      </c>
      <c r="H69" s="96"/>
      <c r="I69" s="97">
        <f t="shared" si="3"/>
        <v>3189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2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/>
      <c r="H70" s="103">
        <f>G25</f>
        <v>0</v>
      </c>
      <c r="I70" s="83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2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3">
        <f>G32</f>
        <v>0</v>
      </c>
      <c r="I71" s="83">
        <f t="shared" si="5"/>
        <v>0</v>
      </c>
      <c r="J71" s="36"/>
    </row>
    <row r="72" spans="1:36" ht="15" customHeight="1">
      <c r="A72" s="702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3">
        <f>G33</f>
        <v>0</v>
      </c>
      <c r="I72" s="83">
        <f t="shared" si="5"/>
        <v>0</v>
      </c>
      <c r="J72" s="36"/>
    </row>
    <row r="73" spans="1:36" ht="15" customHeight="1">
      <c r="A73" s="702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3">
        <f>H24</f>
        <v>0</v>
      </c>
      <c r="I73" s="83">
        <f t="shared" si="5"/>
        <v>0</v>
      </c>
      <c r="J73" s="36"/>
    </row>
    <row r="74" spans="1:36" ht="15" customHeight="1">
      <c r="A74" s="702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3">
        <f>G34</f>
        <v>0</v>
      </c>
      <c r="I74" s="83">
        <f t="shared" si="5"/>
        <v>0</v>
      </c>
      <c r="J74" s="36"/>
    </row>
    <row r="75" spans="1:36" ht="30" customHeight="1" thickBot="1">
      <c r="A75" s="703"/>
      <c r="B75" s="41" t="s">
        <v>249</v>
      </c>
      <c r="C75" s="37" t="s">
        <v>3</v>
      </c>
      <c r="D75" s="93">
        <f>ROUND(SUM(D70:D71,D74)-D72-D73,3)</f>
        <v>300</v>
      </c>
      <c r="E75" s="93">
        <f>ROUND(SUM(E70:E71,E74)-E72-E73,3)</f>
        <v>0</v>
      </c>
      <c r="F75" s="93">
        <f t="shared" si="4"/>
        <v>300</v>
      </c>
      <c r="G75" s="93">
        <f>ROUND(SUM(G70:G71,G74)-G72-G73,3)</f>
        <v>0</v>
      </c>
      <c r="H75" s="93">
        <f>ROUND(SUM(H70:H71,H74)-H72-H73,3)</f>
        <v>0</v>
      </c>
      <c r="I75" s="94">
        <f t="shared" si="5"/>
        <v>0</v>
      </c>
      <c r="J75" s="36"/>
    </row>
    <row r="76" spans="1:36" ht="30" customHeight="1" thickTop="1" thickBot="1">
      <c r="A76" s="512" t="s">
        <v>700</v>
      </c>
      <c r="B76" s="98" t="s">
        <v>699</v>
      </c>
      <c r="C76" s="99" t="s">
        <v>3</v>
      </c>
      <c r="D76" s="100">
        <f>ROUND(SUM(D69,D75),3)</f>
        <v>1826</v>
      </c>
      <c r="E76" s="100">
        <f>ROUND(SUM(E69,E75),3)</f>
        <v>0</v>
      </c>
      <c r="F76" s="100">
        <f t="shared" si="4"/>
        <v>1826</v>
      </c>
      <c r="G76" s="100">
        <f>ROUND(SUM(G69,G75),3)</f>
        <v>3189</v>
      </c>
      <c r="H76" s="100">
        <f>ROUND(SUM(H69,H75),3)</f>
        <v>0</v>
      </c>
      <c r="I76" s="101">
        <f t="shared" si="5"/>
        <v>3189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 t="s">
        <v>766</v>
      </c>
      <c r="B81" s="63"/>
      <c r="C81" s="11"/>
      <c r="D81" s="3"/>
      <c r="E81" s="3"/>
      <c r="F81" s="682"/>
      <c r="G81" s="683"/>
      <c r="H81" s="683"/>
      <c r="I81" s="68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5"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D53:F53"/>
    <mergeCell ref="G53:I53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5" fitToHeight="0" orientation="portrait" blackAndWhite="1" r:id="rId1"/>
  <headerFooter alignWithMargins="0"/>
  <ignoredErrors>
    <ignoredError sqref="D45 H70:H71 H73:H74 H72 D30:F33 E44:F44 D47:F51 F46 F45 E52:F52 E34:F34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34" workbookViewId="0">
      <selection activeCell="G17" sqref="G17"/>
    </sheetView>
  </sheetViews>
  <sheetFormatPr defaultColWidth="0" defaultRowHeight="12.75" zeroHeight="1"/>
  <cols>
    <col min="1" max="1" width="3.85546875" style="105" customWidth="1"/>
    <col min="2" max="2" width="20.42578125" style="105" customWidth="1"/>
    <col min="3" max="4" width="11" style="105" customWidth="1"/>
    <col min="5" max="5" width="7.5703125" style="105" customWidth="1"/>
    <col min="6" max="6" width="16.5703125" style="105" customWidth="1"/>
    <col min="7" max="7" width="20.42578125" style="105" customWidth="1"/>
    <col min="8" max="8" width="7.5703125" style="105" customWidth="1"/>
    <col min="9" max="12" width="7.5703125" style="105" hidden="1" customWidth="1"/>
    <col min="13" max="16384" width="0" style="105" hidden="1"/>
  </cols>
  <sheetData>
    <row r="1" spans="1:8" ht="18.75">
      <c r="A1" s="104"/>
      <c r="B1" s="745">
        <v>3</v>
      </c>
      <c r="C1" s="745"/>
      <c r="D1" s="745"/>
      <c r="E1" s="745"/>
      <c r="F1" s="237"/>
      <c r="G1" s="135" t="s">
        <v>681</v>
      </c>
    </row>
    <row r="2" spans="1:8">
      <c r="A2" s="104"/>
      <c r="B2" s="104"/>
      <c r="C2" s="104"/>
      <c r="D2" s="104"/>
      <c r="E2" s="104"/>
      <c r="F2" s="104"/>
      <c r="G2" s="104"/>
    </row>
    <row r="3" spans="1:8">
      <c r="A3" s="104"/>
      <c r="B3" s="104"/>
      <c r="C3" s="104"/>
      <c r="D3" s="104"/>
      <c r="E3" s="104"/>
      <c r="F3" s="104"/>
      <c r="G3" s="104"/>
    </row>
    <row r="4" spans="1:8" ht="15.75" customHeight="1">
      <c r="A4" s="154"/>
      <c r="B4" s="746" t="s">
        <v>156</v>
      </c>
      <c r="C4" s="746"/>
      <c r="D4" s="746"/>
      <c r="E4" s="746"/>
      <c r="F4" s="154"/>
      <c r="G4" s="154"/>
    </row>
    <row r="5" spans="1:8" ht="15.75">
      <c r="A5" s="238"/>
      <c r="B5" s="747" t="s">
        <v>769</v>
      </c>
      <c r="C5" s="747"/>
      <c r="D5" s="747"/>
      <c r="E5" s="747"/>
      <c r="F5" s="238"/>
      <c r="G5" s="238"/>
    </row>
    <row r="6" spans="1:8" ht="15.75">
      <c r="A6" s="238"/>
      <c r="B6" s="239"/>
      <c r="C6" s="239"/>
      <c r="D6" s="239"/>
      <c r="E6" s="238"/>
      <c r="F6" s="238"/>
      <c r="G6" s="238"/>
    </row>
    <row r="7" spans="1:8" ht="15.75">
      <c r="A7" s="238"/>
      <c r="B7" s="239"/>
      <c r="C7" s="239"/>
      <c r="D7" s="239"/>
      <c r="E7" s="238"/>
      <c r="F7" s="238"/>
      <c r="G7" s="238"/>
    </row>
    <row r="8" spans="1:8"/>
    <row r="9" spans="1:8" ht="13.5" thickBot="1">
      <c r="A9" s="117"/>
      <c r="B9" s="117"/>
      <c r="C9" s="117"/>
      <c r="D9" s="117"/>
      <c r="E9" s="117"/>
      <c r="F9" s="117"/>
      <c r="G9" s="117"/>
    </row>
    <row r="10" spans="1:8" s="108" customFormat="1" ht="30" customHeight="1" thickTop="1">
      <c r="A10" s="240" t="s">
        <v>0</v>
      </c>
      <c r="B10" s="748" t="s">
        <v>71</v>
      </c>
      <c r="C10" s="749"/>
      <c r="D10" s="750"/>
      <c r="E10" s="241" t="s">
        <v>41</v>
      </c>
      <c r="F10" s="242" t="s">
        <v>762</v>
      </c>
      <c r="G10" s="518" t="s">
        <v>764</v>
      </c>
      <c r="H10" s="243"/>
    </row>
    <row r="11" spans="1:8" s="108" customFormat="1">
      <c r="A11" s="244">
        <v>1</v>
      </c>
      <c r="B11" s="751">
        <v>2</v>
      </c>
      <c r="C11" s="752"/>
      <c r="D11" s="753"/>
      <c r="E11" s="245">
        <v>3</v>
      </c>
      <c r="F11" s="245">
        <v>4</v>
      </c>
      <c r="G11" s="246">
        <v>5</v>
      </c>
      <c r="H11" s="247"/>
    </row>
    <row r="12" spans="1:8" s="250" customFormat="1" ht="15">
      <c r="A12" s="190">
        <v>1</v>
      </c>
      <c r="B12" s="742" t="s">
        <v>72</v>
      </c>
      <c r="C12" s="743"/>
      <c r="D12" s="744"/>
      <c r="E12" s="248" t="s">
        <v>73</v>
      </c>
      <c r="F12" s="74">
        <v>900</v>
      </c>
      <c r="G12" s="75">
        <v>900</v>
      </c>
      <c r="H12" s="249"/>
    </row>
    <row r="13" spans="1:8" s="250" customFormat="1" ht="15" customHeight="1">
      <c r="A13" s="190">
        <v>2</v>
      </c>
      <c r="B13" s="742" t="s">
        <v>92</v>
      </c>
      <c r="C13" s="743"/>
      <c r="D13" s="744"/>
      <c r="E13" s="248" t="s">
        <v>7</v>
      </c>
      <c r="F13" s="251">
        <f>IF(F12+F15=0,0,F12/(F12+F15))</f>
        <v>0.51282051282051277</v>
      </c>
      <c r="G13" s="252">
        <f>IF(G12+G15=0,0,G12/(G12+G15))</f>
        <v>0.62717770034843201</v>
      </c>
      <c r="H13" s="253"/>
    </row>
    <row r="14" spans="1:8" s="250" customFormat="1" ht="17.25" customHeight="1">
      <c r="A14" s="190">
        <v>3</v>
      </c>
      <c r="B14" s="742" t="s">
        <v>74</v>
      </c>
      <c r="C14" s="743"/>
      <c r="D14" s="744"/>
      <c r="E14" s="248" t="s">
        <v>7</v>
      </c>
      <c r="F14" s="76">
        <v>7.0000000000000007E-2</v>
      </c>
      <c r="G14" s="513">
        <v>7.0000000000000007E-2</v>
      </c>
      <c r="H14" s="254"/>
    </row>
    <row r="15" spans="1:8" s="250" customFormat="1" ht="15" customHeight="1">
      <c r="A15" s="190">
        <v>4</v>
      </c>
      <c r="B15" s="742" t="s">
        <v>91</v>
      </c>
      <c r="C15" s="743"/>
      <c r="D15" s="744"/>
      <c r="E15" s="248" t="s">
        <v>73</v>
      </c>
      <c r="F15" s="255">
        <v>855</v>
      </c>
      <c r="G15" s="256">
        <f>SUM(G16:G17)</f>
        <v>535</v>
      </c>
      <c r="H15" s="249"/>
    </row>
    <row r="16" spans="1:8" s="250" customFormat="1" ht="15" customHeight="1">
      <c r="A16" s="190"/>
      <c r="B16" s="742" t="s">
        <v>89</v>
      </c>
      <c r="C16" s="743"/>
      <c r="D16" s="744"/>
      <c r="E16" s="248" t="s">
        <v>73</v>
      </c>
      <c r="F16" s="74">
        <v>553</v>
      </c>
      <c r="G16" s="75">
        <v>332</v>
      </c>
      <c r="H16" s="249"/>
    </row>
    <row r="17" spans="1:8" s="250" customFormat="1" ht="15">
      <c r="A17" s="190"/>
      <c r="B17" s="742" t="s">
        <v>90</v>
      </c>
      <c r="C17" s="743"/>
      <c r="D17" s="744"/>
      <c r="E17" s="248" t="s">
        <v>73</v>
      </c>
      <c r="F17" s="74">
        <v>302</v>
      </c>
      <c r="G17" s="75">
        <v>203</v>
      </c>
      <c r="H17" s="249"/>
    </row>
    <row r="18" spans="1:8" s="250" customFormat="1" ht="15" customHeight="1">
      <c r="A18" s="190">
        <v>5</v>
      </c>
      <c r="B18" s="742" t="s">
        <v>93</v>
      </c>
      <c r="C18" s="743"/>
      <c r="D18" s="744"/>
      <c r="E18" s="248" t="s">
        <v>7</v>
      </c>
      <c r="F18" s="251">
        <f>IF(F12+F15=0,0,F15/(F12+F15))</f>
        <v>0.48717948717948717</v>
      </c>
      <c r="G18" s="252">
        <f>IF(G12+G15=0,0,G15/(G12+G15))</f>
        <v>0.37282229965156793</v>
      </c>
      <c r="H18" s="253"/>
    </row>
    <row r="19" spans="1:8" s="250" customFormat="1" ht="30" customHeight="1">
      <c r="A19" s="190">
        <v>6</v>
      </c>
      <c r="B19" s="742" t="s">
        <v>75</v>
      </c>
      <c r="C19" s="743"/>
      <c r="D19" s="744"/>
      <c r="E19" s="248" t="s">
        <v>7</v>
      </c>
      <c r="F19" s="76">
        <v>3.2399999999999998E-2</v>
      </c>
      <c r="G19" s="513">
        <v>3.2399999999999998E-2</v>
      </c>
      <c r="H19" s="254"/>
    </row>
    <row r="20" spans="1:8" s="250" customFormat="1" ht="15">
      <c r="A20" s="190">
        <v>7</v>
      </c>
      <c r="B20" s="742" t="s">
        <v>76</v>
      </c>
      <c r="C20" s="743"/>
      <c r="D20" s="744"/>
      <c r="E20" s="248" t="s">
        <v>7</v>
      </c>
      <c r="F20" s="76">
        <v>0.1</v>
      </c>
      <c r="G20" s="513">
        <v>0.1</v>
      </c>
      <c r="H20" s="257"/>
    </row>
    <row r="21" spans="1:8" ht="13.5" thickBot="1">
      <c r="A21" s="258">
        <v>8</v>
      </c>
      <c r="B21" s="763" t="s">
        <v>77</v>
      </c>
      <c r="C21" s="764"/>
      <c r="D21" s="765"/>
      <c r="E21" s="259" t="s">
        <v>7</v>
      </c>
      <c r="F21" s="260">
        <f>ROUND(F19*F18+F14*F13*(F20/(1-F20)+1),4)</f>
        <v>5.57E-2</v>
      </c>
      <c r="G21" s="261">
        <f>ROUND(G19*G18+G14*G13*(G20/(1-G20)+1),4)</f>
        <v>6.0900000000000003E-2</v>
      </c>
      <c r="H21" s="262"/>
    </row>
    <row r="22" spans="1:8" ht="13.5" thickTop="1"/>
    <row r="23" spans="1:8"/>
    <row r="24" spans="1:8">
      <c r="B24" s="760" t="s">
        <v>754</v>
      </c>
      <c r="C24" s="760"/>
      <c r="D24" s="760"/>
      <c r="E24" s="760"/>
    </row>
    <row r="25" spans="1:8" ht="13.5" thickBot="1">
      <c r="B25" s="263"/>
      <c r="C25" s="263"/>
      <c r="D25" s="263"/>
      <c r="E25" s="263"/>
    </row>
    <row r="26" spans="1:8" ht="26.25" customHeight="1" thickTop="1">
      <c r="A26" s="754" t="s">
        <v>0</v>
      </c>
      <c r="B26" s="756" t="s">
        <v>277</v>
      </c>
      <c r="C26" s="756" t="s">
        <v>441</v>
      </c>
      <c r="D26" s="756" t="s">
        <v>439</v>
      </c>
      <c r="E26" s="761" t="s">
        <v>440</v>
      </c>
      <c r="F26" s="264" t="s">
        <v>279</v>
      </c>
      <c r="G26" s="514" t="s">
        <v>701</v>
      </c>
    </row>
    <row r="27" spans="1:8" ht="26.25" customHeight="1">
      <c r="A27" s="755"/>
      <c r="B27" s="757"/>
      <c r="C27" s="757"/>
      <c r="D27" s="757"/>
      <c r="E27" s="762"/>
      <c r="F27" s="266" t="str">
        <f>'ТИП-ПРОИЗ'!$E$5</f>
        <v>ОТЧЕТ</v>
      </c>
      <c r="G27" s="519" t="str">
        <f>G10</f>
        <v>Към 31.12.2020 г.</v>
      </c>
    </row>
    <row r="28" spans="1:8" ht="12.75" customHeight="1">
      <c r="A28" s="265">
        <v>4</v>
      </c>
      <c r="B28" s="267" t="s">
        <v>282</v>
      </c>
      <c r="C28" s="268">
        <f>SUM(C29,C34)</f>
        <v>0</v>
      </c>
      <c r="D28" s="268"/>
      <c r="E28" s="269">
        <f>IF(C28=0,0,SUM(C29*E29,C34*E34)/C28)</f>
        <v>0</v>
      </c>
      <c r="F28" s="270">
        <f>SUM(F29,F34)</f>
        <v>0</v>
      </c>
      <c r="G28" s="515">
        <f>SUM(G29,G34)</f>
        <v>0</v>
      </c>
    </row>
    <row r="29" spans="1:8">
      <c r="A29" s="181" t="s">
        <v>251</v>
      </c>
      <c r="B29" s="271" t="s">
        <v>280</v>
      </c>
      <c r="C29" s="272">
        <f>SUM(C30:C33)</f>
        <v>0</v>
      </c>
      <c r="D29" s="272"/>
      <c r="E29" s="269">
        <f>ROUND(IF(C29=0,0,SUMPRODUCT(C30:C33,E30:E33)/C29),4)</f>
        <v>0</v>
      </c>
      <c r="F29" s="273">
        <f>SUM(F30:F33)</f>
        <v>0</v>
      </c>
      <c r="G29" s="274">
        <f>SUM(G30:G33)</f>
        <v>0</v>
      </c>
    </row>
    <row r="30" spans="1:8">
      <c r="A30" s="190"/>
      <c r="B30" s="202" t="s">
        <v>278</v>
      </c>
      <c r="C30" s="48"/>
      <c r="D30" s="48"/>
      <c r="E30" s="49"/>
      <c r="F30" s="48"/>
      <c r="G30" s="516">
        <f>SUM(C30,-F30)</f>
        <v>0</v>
      </c>
    </row>
    <row r="31" spans="1:8" ht="15" customHeight="1">
      <c r="A31" s="190"/>
      <c r="B31" s="202" t="s">
        <v>278</v>
      </c>
      <c r="C31" s="48"/>
      <c r="D31" s="48"/>
      <c r="E31" s="49"/>
      <c r="F31" s="48"/>
      <c r="G31" s="516">
        <f>SUM(C31,-F31)</f>
        <v>0</v>
      </c>
    </row>
    <row r="32" spans="1:8" ht="15" customHeight="1">
      <c r="A32" s="190"/>
      <c r="B32" s="202" t="s">
        <v>278</v>
      </c>
      <c r="C32" s="48"/>
      <c r="D32" s="48"/>
      <c r="E32" s="49"/>
      <c r="F32" s="48"/>
      <c r="G32" s="516">
        <f>SUM(C32,-F32)</f>
        <v>0</v>
      </c>
    </row>
    <row r="33" spans="1:10" ht="15" customHeight="1">
      <c r="A33" s="190"/>
      <c r="B33" s="202" t="s">
        <v>278</v>
      </c>
      <c r="C33" s="48"/>
      <c r="D33" s="48"/>
      <c r="E33" s="49"/>
      <c r="F33" s="48"/>
      <c r="G33" s="516">
        <f>SUM(C33,-F33)</f>
        <v>0</v>
      </c>
    </row>
    <row r="34" spans="1:10" ht="12.75" customHeight="1">
      <c r="A34" s="181" t="s">
        <v>252</v>
      </c>
      <c r="B34" s="275" t="s">
        <v>281</v>
      </c>
      <c r="C34" s="276">
        <f>SUM(C35:C43)</f>
        <v>0</v>
      </c>
      <c r="D34" s="276"/>
      <c r="E34" s="269">
        <f>ROUND(IF(C34=0,0,SUMPRODUCT(C35:C43,E35:E43)/C34),4)</f>
        <v>0</v>
      </c>
      <c r="F34" s="273">
        <f>SUM(F35:F43)</f>
        <v>0</v>
      </c>
      <c r="G34" s="274">
        <f>SUM(G35:G43)</f>
        <v>0</v>
      </c>
    </row>
    <row r="35" spans="1:10">
      <c r="A35" s="190"/>
      <c r="B35" s="202" t="s">
        <v>278</v>
      </c>
      <c r="C35" s="48"/>
      <c r="D35" s="48"/>
      <c r="E35" s="49"/>
      <c r="F35" s="48"/>
      <c r="G35" s="516">
        <f t="shared" ref="G35:G43" si="0">SUM(C35,-F35)</f>
        <v>0</v>
      </c>
    </row>
    <row r="36" spans="1:10">
      <c r="A36" s="190"/>
      <c r="B36" s="202" t="s">
        <v>278</v>
      </c>
      <c r="C36" s="48"/>
      <c r="D36" s="48"/>
      <c r="E36" s="49"/>
      <c r="F36" s="48"/>
      <c r="G36" s="516">
        <f t="shared" si="0"/>
        <v>0</v>
      </c>
    </row>
    <row r="37" spans="1:10">
      <c r="A37" s="190"/>
      <c r="B37" s="202" t="s">
        <v>278</v>
      </c>
      <c r="C37" s="48"/>
      <c r="D37" s="48"/>
      <c r="E37" s="49"/>
      <c r="F37" s="48"/>
      <c r="G37" s="516">
        <f t="shared" si="0"/>
        <v>0</v>
      </c>
    </row>
    <row r="38" spans="1:10">
      <c r="A38" s="190"/>
      <c r="B38" s="202" t="s">
        <v>278</v>
      </c>
      <c r="C38" s="48"/>
      <c r="D38" s="48"/>
      <c r="E38" s="49"/>
      <c r="F38" s="48"/>
      <c r="G38" s="516">
        <f t="shared" si="0"/>
        <v>0</v>
      </c>
    </row>
    <row r="39" spans="1:10">
      <c r="A39" s="190"/>
      <c r="B39" s="202" t="s">
        <v>278</v>
      </c>
      <c r="C39" s="48"/>
      <c r="D39" s="48"/>
      <c r="E39" s="49"/>
      <c r="F39" s="48"/>
      <c r="G39" s="516">
        <f t="shared" si="0"/>
        <v>0</v>
      </c>
    </row>
    <row r="40" spans="1:10">
      <c r="A40" s="190"/>
      <c r="B40" s="202" t="s">
        <v>278</v>
      </c>
      <c r="C40" s="48"/>
      <c r="D40" s="48"/>
      <c r="E40" s="49"/>
      <c r="F40" s="48"/>
      <c r="G40" s="516">
        <f t="shared" si="0"/>
        <v>0</v>
      </c>
    </row>
    <row r="41" spans="1:10">
      <c r="A41" s="190"/>
      <c r="B41" s="202" t="s">
        <v>278</v>
      </c>
      <c r="C41" s="48"/>
      <c r="D41" s="48"/>
      <c r="E41" s="49"/>
      <c r="F41" s="48"/>
      <c r="G41" s="516">
        <f t="shared" si="0"/>
        <v>0</v>
      </c>
    </row>
    <row r="42" spans="1:10">
      <c r="A42" s="190"/>
      <c r="B42" s="202" t="s">
        <v>278</v>
      </c>
      <c r="C42" s="48"/>
      <c r="D42" s="48"/>
      <c r="E42" s="49"/>
      <c r="F42" s="48"/>
      <c r="G42" s="516">
        <f t="shared" si="0"/>
        <v>0</v>
      </c>
    </row>
    <row r="43" spans="1:10" ht="13.5" thickBot="1">
      <c r="A43" s="277"/>
      <c r="B43" s="278" t="s">
        <v>278</v>
      </c>
      <c r="C43" s="50"/>
      <c r="D43" s="50"/>
      <c r="E43" s="51"/>
      <c r="F43" s="50"/>
      <c r="G43" s="517">
        <f t="shared" si="0"/>
        <v>0</v>
      </c>
    </row>
    <row r="44" spans="1:10" ht="13.5" thickTop="1">
      <c r="H44" s="137"/>
      <c r="I44" s="137"/>
    </row>
    <row r="45" spans="1:10" ht="15">
      <c r="A45" s="279" t="s">
        <v>98</v>
      </c>
      <c r="B45" s="280"/>
      <c r="C45" s="134"/>
      <c r="D45" s="134"/>
      <c r="E45" s="108"/>
      <c r="F45" s="108"/>
      <c r="G45" s="108"/>
      <c r="H45" s="107"/>
      <c r="I45" s="107"/>
      <c r="J45" s="107"/>
    </row>
    <row r="46" spans="1:10" ht="15">
      <c r="A46" s="281" t="s">
        <v>179</v>
      </c>
      <c r="B46" s="759" t="s">
        <v>771</v>
      </c>
      <c r="C46" s="759"/>
      <c r="D46" s="759"/>
      <c r="E46" s="759"/>
      <c r="F46" s="759"/>
      <c r="G46" s="759"/>
      <c r="H46" s="283"/>
      <c r="I46" s="283"/>
      <c r="J46" s="283"/>
    </row>
    <row r="47" spans="1:10" ht="15">
      <c r="A47" s="281"/>
      <c r="B47" s="282"/>
      <c r="C47" s="282"/>
      <c r="D47" s="282"/>
      <c r="E47" s="282"/>
      <c r="F47" s="282"/>
      <c r="G47" s="282"/>
      <c r="H47" s="283"/>
      <c r="I47" s="283"/>
      <c r="J47" s="283"/>
    </row>
    <row r="48" spans="1:10" ht="15">
      <c r="A48" s="281"/>
      <c r="B48" s="282"/>
      <c r="C48" s="282"/>
      <c r="D48" s="282"/>
      <c r="E48" s="282"/>
      <c r="F48" s="282"/>
      <c r="G48" s="282"/>
      <c r="H48" s="283"/>
      <c r="I48" s="283"/>
      <c r="J48" s="283"/>
    </row>
    <row r="49" spans="1:10" ht="15">
      <c r="A49" s="281"/>
      <c r="B49" s="282"/>
      <c r="C49" s="282"/>
      <c r="D49" s="282"/>
      <c r="E49" s="282"/>
      <c r="F49" s="282"/>
      <c r="G49" s="282"/>
      <c r="H49" s="283"/>
      <c r="I49" s="283"/>
      <c r="J49" s="283"/>
    </row>
    <row r="50" spans="1:10" ht="15">
      <c r="A50" s="281"/>
      <c r="B50" s="282"/>
      <c r="C50" s="282"/>
      <c r="D50" s="282"/>
      <c r="E50" s="282"/>
      <c r="F50" s="282"/>
      <c r="G50" s="282"/>
      <c r="H50" s="283"/>
      <c r="I50" s="283"/>
      <c r="J50" s="283"/>
    </row>
    <row r="51" spans="1:10"/>
    <row r="52" spans="1:10" ht="15.75">
      <c r="A52" s="134" t="str">
        <f>Разходи!$A$91</f>
        <v>Гл. счетоводител:</v>
      </c>
      <c r="B52" s="284"/>
      <c r="C52" s="284"/>
      <c r="D52" s="284"/>
      <c r="E52" s="136" t="str">
        <f>Разходи!$E$91</f>
        <v>Изп. директор:</v>
      </c>
    </row>
    <row r="53" spans="1:10"/>
    <row r="54" spans="1:10">
      <c r="A54" s="134"/>
      <c r="B54" s="285" t="str">
        <f>Разходи!$B$93</f>
        <v>М.Тодорова</v>
      </c>
      <c r="C54" s="285"/>
      <c r="D54" s="285"/>
      <c r="E54" s="107"/>
      <c r="F54" s="758" t="str">
        <f>Разходи!$F$93</f>
        <v>Т.Йорданов</v>
      </c>
      <c r="G54" s="758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Normal="100" workbookViewId="0">
      <pane ySplit="7" topLeftCell="A110" activePane="bottomLeft" state="frozen"/>
      <selection pane="bottomLeft" activeCell="F125" sqref="F125"/>
    </sheetView>
  </sheetViews>
  <sheetFormatPr defaultColWidth="0" defaultRowHeight="12.75" zeroHeight="1"/>
  <cols>
    <col min="1" max="1" width="5.5703125" style="108" customWidth="1"/>
    <col min="2" max="2" width="66.140625" style="134" customWidth="1"/>
    <col min="3" max="3" width="10.5703125" style="108" customWidth="1"/>
    <col min="4" max="4" width="10" style="108" customWidth="1"/>
    <col min="5" max="5" width="14.5703125" style="134" customWidth="1"/>
    <col min="6" max="6" width="14.85546875" style="134" customWidth="1"/>
    <col min="7" max="7" width="15.5703125" style="134" customWidth="1"/>
    <col min="8" max="16384" width="0" style="134" hidden="1"/>
  </cols>
  <sheetData>
    <row r="1" spans="1:7" ht="18.75">
      <c r="A1" s="154"/>
      <c r="B1" s="775">
        <v>4</v>
      </c>
      <c r="C1" s="775"/>
      <c r="D1" s="334"/>
      <c r="E1" s="335"/>
      <c r="F1" s="135" t="s">
        <v>682</v>
      </c>
    </row>
    <row r="2" spans="1:7">
      <c r="A2" s="154"/>
      <c r="B2" s="776" t="s">
        <v>218</v>
      </c>
      <c r="C2" s="776"/>
      <c r="D2" s="154"/>
      <c r="E2" s="336"/>
      <c r="F2" s="336"/>
    </row>
    <row r="3" spans="1:7">
      <c r="A3" s="154"/>
      <c r="B3" s="678" t="s">
        <v>770</v>
      </c>
      <c r="C3" s="154"/>
      <c r="D3" s="154"/>
      <c r="E3" s="336"/>
      <c r="F3"/>
    </row>
    <row r="4" spans="1:7" ht="12.75" customHeight="1" thickBot="1">
      <c r="B4" s="337"/>
      <c r="C4" s="338"/>
      <c r="F4" s="209"/>
    </row>
    <row r="5" spans="1:7" ht="32.25" customHeight="1" thickTop="1">
      <c r="A5" s="766" t="s">
        <v>0</v>
      </c>
      <c r="B5" s="768">
        <v>7.2020999999999997</v>
      </c>
      <c r="C5" s="772" t="s">
        <v>42</v>
      </c>
      <c r="D5" s="777" t="s">
        <v>14</v>
      </c>
      <c r="E5" s="341" t="s">
        <v>332</v>
      </c>
      <c r="F5" s="342" t="s">
        <v>752</v>
      </c>
    </row>
    <row r="6" spans="1:7" ht="15.75">
      <c r="A6" s="767"/>
      <c r="B6" s="769"/>
      <c r="C6" s="773"/>
      <c r="D6" s="778"/>
      <c r="E6" s="343">
        <f>($B$5-7.0001)*10000</f>
        <v>2019.9999999999995</v>
      </c>
      <c r="F6" s="649">
        <f>$B$5</f>
        <v>7.2020999999999997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1">
        <v>6</v>
      </c>
    </row>
    <row r="8" spans="1:7" s="204" customFormat="1" ht="15" customHeight="1">
      <c r="A8" s="377">
        <v>1</v>
      </c>
      <c r="B8" s="348" t="s">
        <v>534</v>
      </c>
      <c r="C8" s="349" t="s">
        <v>221</v>
      </c>
      <c r="D8" s="109" t="s">
        <v>70</v>
      </c>
      <c r="E8" s="350">
        <f>SUM(E9:E10)</f>
        <v>7080</v>
      </c>
      <c r="F8" s="425">
        <f>SUM(F9:F10)</f>
        <v>18870</v>
      </c>
      <c r="G8" s="134"/>
    </row>
    <row r="9" spans="1:7" s="204" customFormat="1" ht="15.75">
      <c r="A9" s="362" t="s">
        <v>256</v>
      </c>
      <c r="B9" s="352" t="s">
        <v>535</v>
      </c>
      <c r="C9" s="349" t="s">
        <v>473</v>
      </c>
      <c r="D9" s="109" t="s">
        <v>70</v>
      </c>
      <c r="E9" s="353">
        <f>SUM(E12,'ТИП-ПРЕНОС'!D12)</f>
        <v>7080</v>
      </c>
      <c r="F9" s="426">
        <v>18870</v>
      </c>
      <c r="G9" s="134"/>
    </row>
    <row r="10" spans="1:7" s="204" customFormat="1" ht="15.75">
      <c r="A10" s="362" t="s">
        <v>257</v>
      </c>
      <c r="B10" s="352" t="s">
        <v>536</v>
      </c>
      <c r="C10" s="349" t="s">
        <v>474</v>
      </c>
      <c r="D10" s="109" t="s">
        <v>70</v>
      </c>
      <c r="E10" s="353">
        <f>SUM(E13,'ТИП-ПРЕНОС'!D33)</f>
        <v>0</v>
      </c>
      <c r="F10" s="426">
        <f>SUM(F13,'ТИП-ПРЕНОС'!E33)</f>
        <v>0</v>
      </c>
      <c r="G10" s="134"/>
    </row>
    <row r="11" spans="1:7" s="204" customFormat="1" ht="15.75">
      <c r="A11" s="377">
        <v>2</v>
      </c>
      <c r="B11" s="354" t="s">
        <v>505</v>
      </c>
      <c r="C11" s="349" t="s">
        <v>397</v>
      </c>
      <c r="D11" s="109" t="s">
        <v>70</v>
      </c>
      <c r="E11" s="355">
        <f>SUM(E12:E13)</f>
        <v>7080</v>
      </c>
      <c r="F11" s="427">
        <f>SUM(F12:F13)</f>
        <v>18870</v>
      </c>
      <c r="G11" s="134"/>
    </row>
    <row r="12" spans="1:7" s="204" customFormat="1" ht="15.75">
      <c r="A12" s="377" t="s">
        <v>272</v>
      </c>
      <c r="B12" s="352" t="s">
        <v>20</v>
      </c>
      <c r="C12" s="349" t="s">
        <v>475</v>
      </c>
      <c r="D12" s="109" t="s">
        <v>70</v>
      </c>
      <c r="E12" s="92">
        <v>7080</v>
      </c>
      <c r="F12" s="428">
        <v>18870</v>
      </c>
      <c r="G12" s="134"/>
    </row>
    <row r="13" spans="1:7" s="204" customFormat="1" ht="15.75">
      <c r="A13" s="377" t="s">
        <v>273</v>
      </c>
      <c r="B13" s="352" t="s">
        <v>222</v>
      </c>
      <c r="C13" s="349" t="s">
        <v>476</v>
      </c>
      <c r="D13" s="109" t="s">
        <v>70</v>
      </c>
      <c r="E13" s="92"/>
      <c r="F13" s="428"/>
      <c r="G13" s="134"/>
    </row>
    <row r="14" spans="1:7" s="204" customFormat="1" ht="15.75">
      <c r="A14" s="377">
        <v>3</v>
      </c>
      <c r="B14" s="354" t="s">
        <v>192</v>
      </c>
      <c r="C14" s="349" t="s">
        <v>397</v>
      </c>
      <c r="D14" s="109" t="s">
        <v>70</v>
      </c>
      <c r="E14" s="356">
        <f>SUM(E15:E16)</f>
        <v>20</v>
      </c>
      <c r="F14" s="429">
        <f>SUM(F15:F16)</f>
        <v>30</v>
      </c>
      <c r="G14" s="134"/>
    </row>
    <row r="15" spans="1:7" s="204" customFormat="1" ht="15.75">
      <c r="A15" s="377" t="s">
        <v>261</v>
      </c>
      <c r="B15" s="352" t="s">
        <v>20</v>
      </c>
      <c r="C15" s="349" t="s">
        <v>475</v>
      </c>
      <c r="D15" s="109" t="s">
        <v>70</v>
      </c>
      <c r="E15" s="86">
        <v>20</v>
      </c>
      <c r="F15" s="421">
        <v>30</v>
      </c>
      <c r="G15" s="134"/>
    </row>
    <row r="16" spans="1:7" s="204" customFormat="1" ht="15.75">
      <c r="A16" s="377" t="s">
        <v>262</v>
      </c>
      <c r="B16" s="352" t="s">
        <v>222</v>
      </c>
      <c r="C16" s="349" t="s">
        <v>476</v>
      </c>
      <c r="D16" s="109" t="s">
        <v>70</v>
      </c>
      <c r="E16" s="86"/>
      <c r="F16" s="421"/>
      <c r="G16" s="134"/>
    </row>
    <row r="17" spans="1:7" s="204" customFormat="1" ht="15.75">
      <c r="A17" s="377">
        <v>4</v>
      </c>
      <c r="B17" s="354" t="s">
        <v>192</v>
      </c>
      <c r="C17" s="349" t="s">
        <v>397</v>
      </c>
      <c r="D17" s="109" t="s">
        <v>7</v>
      </c>
      <c r="E17" s="357">
        <f t="shared" ref="E17:F19" si="0">IF(E20=0,0,E14/E20)</f>
        <v>2.8169014084507044E-3</v>
      </c>
      <c r="F17" s="430">
        <f t="shared" si="0"/>
        <v>1.5873015873015873E-3</v>
      </c>
      <c r="G17" s="134"/>
    </row>
    <row r="18" spans="1:7" s="204" customFormat="1" ht="15.75">
      <c r="A18" s="377" t="s">
        <v>251</v>
      </c>
      <c r="B18" s="352" t="s">
        <v>20</v>
      </c>
      <c r="C18" s="349" t="s">
        <v>475</v>
      </c>
      <c r="D18" s="109" t="s">
        <v>7</v>
      </c>
      <c r="E18" s="357">
        <f t="shared" si="0"/>
        <v>2.8169014084507044E-3</v>
      </c>
      <c r="F18" s="430">
        <f t="shared" si="0"/>
        <v>1.5873015873015873E-3</v>
      </c>
      <c r="G18" s="134"/>
    </row>
    <row r="19" spans="1:7" s="204" customFormat="1" ht="15.75">
      <c r="A19" s="377" t="s">
        <v>252</v>
      </c>
      <c r="B19" s="352" t="s">
        <v>222</v>
      </c>
      <c r="C19" s="349" t="s">
        <v>476</v>
      </c>
      <c r="D19" s="109" t="s">
        <v>7</v>
      </c>
      <c r="E19" s="357">
        <f t="shared" si="0"/>
        <v>0</v>
      </c>
      <c r="F19" s="430">
        <f t="shared" si="0"/>
        <v>0</v>
      </c>
      <c r="G19" s="134"/>
    </row>
    <row r="20" spans="1:7" ht="15.75">
      <c r="A20" s="362">
        <v>5</v>
      </c>
      <c r="B20" s="354" t="s">
        <v>538</v>
      </c>
      <c r="C20" s="109" t="s">
        <v>220</v>
      </c>
      <c r="D20" s="109" t="s">
        <v>70</v>
      </c>
      <c r="E20" s="350">
        <f>SUM(E21:E22)</f>
        <v>7100</v>
      </c>
      <c r="F20" s="425">
        <f>SUM(F21:F22)</f>
        <v>18900</v>
      </c>
    </row>
    <row r="21" spans="1:7" ht="15.75">
      <c r="A21" s="362" t="s">
        <v>263</v>
      </c>
      <c r="B21" s="352" t="s">
        <v>20</v>
      </c>
      <c r="C21" s="109" t="s">
        <v>343</v>
      </c>
      <c r="D21" s="109" t="s">
        <v>70</v>
      </c>
      <c r="E21" s="358">
        <f>SUM(E9,E15)</f>
        <v>7100</v>
      </c>
      <c r="F21" s="431">
        <f>SUM(F9,F15)</f>
        <v>18900</v>
      </c>
    </row>
    <row r="22" spans="1:7" ht="16.5" thickBot="1">
      <c r="A22" s="362" t="s">
        <v>264</v>
      </c>
      <c r="B22" s="352" t="s">
        <v>222</v>
      </c>
      <c r="C22" s="109" t="s">
        <v>344</v>
      </c>
      <c r="D22" s="109" t="s">
        <v>70</v>
      </c>
      <c r="E22" s="358">
        <f>SUM(E10,E16)</f>
        <v>0</v>
      </c>
      <c r="F22" s="431">
        <f>SUM(F10,F16)</f>
        <v>0</v>
      </c>
    </row>
    <row r="23" spans="1:7" ht="13.5" thickTop="1">
      <c r="A23" s="339"/>
      <c r="B23" s="359" t="s">
        <v>464</v>
      </c>
      <c r="C23" s="340" t="s">
        <v>42</v>
      </c>
      <c r="D23" s="340" t="s">
        <v>14</v>
      </c>
      <c r="E23" s="360"/>
      <c r="F23" s="361"/>
    </row>
    <row r="24" spans="1:7" ht="15.75">
      <c r="A24" s="362">
        <v>6</v>
      </c>
      <c r="B24" s="354" t="s">
        <v>469</v>
      </c>
      <c r="C24" s="109" t="s">
        <v>738</v>
      </c>
      <c r="D24" s="113" t="s">
        <v>70</v>
      </c>
      <c r="E24" s="363">
        <f>SUM(E25:E26)</f>
        <v>7080</v>
      </c>
      <c r="F24" s="364">
        <f>SUM(F25:F26)</f>
        <v>18870</v>
      </c>
    </row>
    <row r="25" spans="1:7" ht="15.75">
      <c r="A25" s="362" t="s">
        <v>500</v>
      </c>
      <c r="B25" s="352" t="s">
        <v>20</v>
      </c>
      <c r="C25" s="109" t="s">
        <v>466</v>
      </c>
      <c r="D25" s="113" t="s">
        <v>70</v>
      </c>
      <c r="E25" s="420">
        <v>7080</v>
      </c>
      <c r="F25" s="421">
        <v>18870</v>
      </c>
    </row>
    <row r="26" spans="1:7" ht="15.75">
      <c r="A26" s="362" t="s">
        <v>501</v>
      </c>
      <c r="B26" s="352" t="s">
        <v>222</v>
      </c>
      <c r="C26" s="109" t="s">
        <v>465</v>
      </c>
      <c r="D26" s="113" t="s">
        <v>70</v>
      </c>
      <c r="E26" s="420"/>
      <c r="F26" s="421"/>
    </row>
    <row r="27" spans="1:7" ht="15.75">
      <c r="A27" s="362">
        <v>7</v>
      </c>
      <c r="B27" s="365" t="s">
        <v>190</v>
      </c>
      <c r="C27" s="351" t="s">
        <v>15</v>
      </c>
      <c r="D27" s="351" t="s">
        <v>70</v>
      </c>
      <c r="E27" s="90">
        <v>7166</v>
      </c>
      <c r="F27" s="432">
        <v>20112</v>
      </c>
    </row>
    <row r="28" spans="1:7">
      <c r="A28" s="362" t="s">
        <v>506</v>
      </c>
      <c r="B28" s="366" t="s">
        <v>410</v>
      </c>
      <c r="C28" s="351" t="s">
        <v>411</v>
      </c>
      <c r="D28" s="351" t="s">
        <v>70</v>
      </c>
      <c r="E28" s="86"/>
      <c r="F28" s="421"/>
    </row>
    <row r="29" spans="1:7">
      <c r="A29" s="362" t="s">
        <v>507</v>
      </c>
      <c r="B29" s="366" t="s">
        <v>346</v>
      </c>
      <c r="C29" s="351" t="s">
        <v>345</v>
      </c>
      <c r="D29" s="351" t="s">
        <v>70</v>
      </c>
      <c r="E29" s="358">
        <f>SUM(E27,-E30)</f>
        <v>7166</v>
      </c>
      <c r="F29" s="431">
        <f>SUM(F27,-F30)</f>
        <v>20112</v>
      </c>
    </row>
    <row r="30" spans="1:7">
      <c r="A30" s="362" t="s">
        <v>508</v>
      </c>
      <c r="B30" s="366" t="s">
        <v>623</v>
      </c>
      <c r="C30" s="351" t="s">
        <v>488</v>
      </c>
      <c r="D30" s="351" t="s">
        <v>70</v>
      </c>
      <c r="E30" s="86"/>
      <c r="F30" s="421"/>
    </row>
    <row r="31" spans="1:7" ht="14.25">
      <c r="A31" s="362">
        <v>8</v>
      </c>
      <c r="B31" s="367" t="s">
        <v>494</v>
      </c>
      <c r="C31" s="351" t="s">
        <v>418</v>
      </c>
      <c r="D31" s="351" t="s">
        <v>374</v>
      </c>
      <c r="E31" s="353">
        <f>E32*860/7000</f>
        <v>2231.5057628571431</v>
      </c>
      <c r="F31" s="426">
        <f>F32*860/7000</f>
        <v>6150.6856000000007</v>
      </c>
    </row>
    <row r="32" spans="1:7" ht="15.75">
      <c r="A32" s="362">
        <v>9</v>
      </c>
      <c r="B32" s="367" t="s">
        <v>492</v>
      </c>
      <c r="C32" s="351" t="s">
        <v>727</v>
      </c>
      <c r="D32" s="109" t="s">
        <v>70</v>
      </c>
      <c r="E32" s="356">
        <f>ROUND(SUMPRODUCT(E33:E37,E$75:E$79)/860,3)</f>
        <v>18163.419000000002</v>
      </c>
      <c r="F32" s="429">
        <f>ROUND(SUMPRODUCT(F33:F37,F$75:F$79)/860,3)</f>
        <v>50063.72</v>
      </c>
      <c r="G32" s="368"/>
    </row>
    <row r="33" spans="1:7" ht="15.75">
      <c r="A33" s="362" t="s">
        <v>509</v>
      </c>
      <c r="B33" s="210" t="s">
        <v>9</v>
      </c>
      <c r="C33" s="109" t="s">
        <v>21</v>
      </c>
      <c r="D33" s="109" t="s">
        <v>372</v>
      </c>
      <c r="E33" s="86">
        <v>1898</v>
      </c>
      <c r="F33" s="421">
        <v>5227</v>
      </c>
      <c r="G33" s="369"/>
    </row>
    <row r="34" spans="1:7">
      <c r="A34" s="362" t="s">
        <v>510</v>
      </c>
      <c r="B34" s="210" t="s">
        <v>10</v>
      </c>
      <c r="C34" s="109" t="s">
        <v>22</v>
      </c>
      <c r="D34" s="109" t="s">
        <v>23</v>
      </c>
      <c r="E34" s="86"/>
      <c r="F34" s="421"/>
    </row>
    <row r="35" spans="1:7">
      <c r="A35" s="362" t="s">
        <v>511</v>
      </c>
      <c r="B35" s="210" t="s">
        <v>12</v>
      </c>
      <c r="C35" s="109" t="s">
        <v>24</v>
      </c>
      <c r="D35" s="109" t="s">
        <v>23</v>
      </c>
      <c r="E35" s="86"/>
      <c r="F35" s="421"/>
      <c r="G35" s="368"/>
    </row>
    <row r="36" spans="1:7">
      <c r="A36" s="362" t="s">
        <v>512</v>
      </c>
      <c r="B36" s="210" t="s">
        <v>11</v>
      </c>
      <c r="C36" s="109" t="s">
        <v>25</v>
      </c>
      <c r="D36" s="109" t="s">
        <v>23</v>
      </c>
      <c r="E36" s="86"/>
      <c r="F36" s="421"/>
      <c r="G36" s="368"/>
    </row>
    <row r="37" spans="1:7" ht="15.75">
      <c r="A37" s="362" t="s">
        <v>513</v>
      </c>
      <c r="B37" s="424" t="s">
        <v>369</v>
      </c>
      <c r="C37" s="109" t="s">
        <v>415</v>
      </c>
      <c r="D37" s="109" t="s">
        <v>431</v>
      </c>
      <c r="E37" s="86"/>
      <c r="F37" s="421"/>
      <c r="G37" s="369"/>
    </row>
    <row r="38" spans="1:7" ht="14.25">
      <c r="A38" s="362">
        <v>10</v>
      </c>
      <c r="B38" s="674">
        <f>B93</f>
        <v>0.6</v>
      </c>
      <c r="C38" s="351" t="s">
        <v>504</v>
      </c>
      <c r="D38" s="351" t="s">
        <v>349</v>
      </c>
      <c r="E38" s="358">
        <f>E33*E$80/860*3.6</f>
        <v>72658.088372093029</v>
      </c>
      <c r="F38" s="431">
        <f>F33*F$80/860*3.6</f>
        <v>200096.85348837209</v>
      </c>
    </row>
    <row r="39" spans="1:7" ht="14.25">
      <c r="A39" s="362">
        <v>11</v>
      </c>
      <c r="B39" s="675">
        <f>B94</f>
        <v>0.6</v>
      </c>
      <c r="C39" s="351" t="s">
        <v>420</v>
      </c>
      <c r="D39" s="351" t="s">
        <v>349</v>
      </c>
      <c r="E39" s="358">
        <f>E36*E$83/860*3.6*(1-Коефициенти!E22)</f>
        <v>0</v>
      </c>
      <c r="F39" s="431">
        <f>F36*F$83/860*3.6*(1-Коефициенти!F22)</f>
        <v>0</v>
      </c>
    </row>
    <row r="40" spans="1:7" ht="15.75">
      <c r="A40" s="362">
        <v>12</v>
      </c>
      <c r="B40" s="367" t="s">
        <v>409</v>
      </c>
      <c r="C40" s="371" t="s">
        <v>471</v>
      </c>
      <c r="D40" s="371" t="s">
        <v>7</v>
      </c>
      <c r="E40" s="372">
        <v>0.184</v>
      </c>
      <c r="F40" s="433">
        <v>0.185</v>
      </c>
    </row>
    <row r="41" spans="1:7" ht="15.75">
      <c r="A41" s="362">
        <v>13</v>
      </c>
      <c r="B41" s="121" t="s">
        <v>472</v>
      </c>
      <c r="C41" s="109" t="s">
        <v>480</v>
      </c>
      <c r="D41" s="109" t="s">
        <v>7</v>
      </c>
      <c r="E41" s="373">
        <f>Коефициенти!E19</f>
        <v>0.78322258601202766</v>
      </c>
      <c r="F41" s="433">
        <f>Коефициенти!F19</f>
        <v>0.77804845504888565</v>
      </c>
    </row>
    <row r="42" spans="1:7" ht="15">
      <c r="A42" s="362">
        <v>14</v>
      </c>
      <c r="B42" s="375" t="s">
        <v>533</v>
      </c>
      <c r="C42" s="109" t="s">
        <v>481</v>
      </c>
      <c r="D42" s="113" t="s">
        <v>35</v>
      </c>
      <c r="E42" s="376">
        <v>153.02000000000001</v>
      </c>
      <c r="F42" s="435">
        <v>150.28</v>
      </c>
    </row>
    <row r="43" spans="1:7" ht="16.5" thickBot="1">
      <c r="A43" s="455">
        <v>15</v>
      </c>
      <c r="B43" s="464" t="s">
        <v>193</v>
      </c>
      <c r="C43" s="457" t="s">
        <v>482</v>
      </c>
      <c r="D43" s="465" t="s">
        <v>198</v>
      </c>
      <c r="E43" s="466">
        <v>160.30000000000001</v>
      </c>
      <c r="F43" s="467">
        <v>165.78</v>
      </c>
    </row>
    <row r="44" spans="1:7" ht="13.5" thickTop="1">
      <c r="A44" s="460"/>
      <c r="B44" s="461" t="s">
        <v>477</v>
      </c>
      <c r="C44" s="462"/>
      <c r="D44" s="463"/>
      <c r="E44" s="401"/>
      <c r="F44" s="444"/>
    </row>
    <row r="45" spans="1:7" ht="15.75">
      <c r="A45" s="377">
        <v>16</v>
      </c>
      <c r="B45" s="354" t="s">
        <v>478</v>
      </c>
      <c r="C45" s="109" t="s">
        <v>739</v>
      </c>
      <c r="D45" s="378" t="s">
        <v>70</v>
      </c>
      <c r="E45" s="379">
        <f>SUM(E46:E47)</f>
        <v>20</v>
      </c>
      <c r="F45" s="436">
        <f>SUM(F46:F47)</f>
        <v>30</v>
      </c>
    </row>
    <row r="46" spans="1:7" ht="15.75">
      <c r="A46" s="377" t="s">
        <v>602</v>
      </c>
      <c r="B46" s="352" t="s">
        <v>20</v>
      </c>
      <c r="C46" s="109" t="s">
        <v>466</v>
      </c>
      <c r="D46" s="378" t="s">
        <v>70</v>
      </c>
      <c r="E46" s="358">
        <f>SUM(E21,-E25)</f>
        <v>20</v>
      </c>
      <c r="F46" s="431">
        <f>SUM(F21,-F25)</f>
        <v>30</v>
      </c>
    </row>
    <row r="47" spans="1:7" ht="15.75">
      <c r="A47" s="377" t="s">
        <v>603</v>
      </c>
      <c r="B47" s="352" t="s">
        <v>222</v>
      </c>
      <c r="C47" s="109" t="s">
        <v>465</v>
      </c>
      <c r="D47" s="378" t="s">
        <v>70</v>
      </c>
      <c r="E47" s="358">
        <f>SUM(E22,-E26)</f>
        <v>0</v>
      </c>
      <c r="F47" s="431">
        <f>SUM(F22,-F26)</f>
        <v>0</v>
      </c>
    </row>
    <row r="48" spans="1:7">
      <c r="A48" s="377">
        <v>17</v>
      </c>
      <c r="B48" s="367" t="s">
        <v>495</v>
      </c>
      <c r="C48" s="351" t="s">
        <v>467</v>
      </c>
      <c r="D48" s="380" t="s">
        <v>468</v>
      </c>
      <c r="E48" s="353">
        <f>E49*860/7000</f>
        <v>0</v>
      </c>
      <c r="F48" s="426">
        <f>F49*860/7000</f>
        <v>0</v>
      </c>
    </row>
    <row r="49" spans="1:7" ht="15.75">
      <c r="A49" s="362">
        <v>18</v>
      </c>
      <c r="B49" s="367" t="s">
        <v>496</v>
      </c>
      <c r="C49" s="351" t="s">
        <v>728</v>
      </c>
      <c r="D49" s="109" t="s">
        <v>70</v>
      </c>
      <c r="E49" s="356">
        <f>ROUND(SUMPRODUCT(E50:E54,E$75:E$79)/860,3)</f>
        <v>0</v>
      </c>
      <c r="F49" s="429">
        <f>ROUND(SUMPRODUCT(F50:F54,F$75:F$79)/860,3)</f>
        <v>0</v>
      </c>
    </row>
    <row r="50" spans="1:7">
      <c r="A50" s="362" t="s">
        <v>514</v>
      </c>
      <c r="B50" s="210" t="s">
        <v>9</v>
      </c>
      <c r="C50" s="109" t="s">
        <v>483</v>
      </c>
      <c r="D50" s="113" t="s">
        <v>470</v>
      </c>
      <c r="E50" s="86"/>
      <c r="F50" s="421"/>
    </row>
    <row r="51" spans="1:7">
      <c r="A51" s="362" t="s">
        <v>515</v>
      </c>
      <c r="B51" s="210" t="s">
        <v>10</v>
      </c>
      <c r="C51" s="109" t="s">
        <v>484</v>
      </c>
      <c r="D51" s="113" t="s">
        <v>23</v>
      </c>
      <c r="E51" s="86"/>
      <c r="F51" s="421"/>
    </row>
    <row r="52" spans="1:7">
      <c r="A52" s="362" t="s">
        <v>604</v>
      </c>
      <c r="B52" s="210" t="s">
        <v>12</v>
      </c>
      <c r="C52" s="109" t="s">
        <v>486</v>
      </c>
      <c r="D52" s="113" t="s">
        <v>23</v>
      </c>
      <c r="E52" s="86"/>
      <c r="F52" s="421"/>
    </row>
    <row r="53" spans="1:7">
      <c r="A53" s="362" t="s">
        <v>605</v>
      </c>
      <c r="B53" s="210" t="s">
        <v>11</v>
      </c>
      <c r="C53" s="109" t="s">
        <v>25</v>
      </c>
      <c r="D53" s="113" t="s">
        <v>23</v>
      </c>
      <c r="E53" s="86"/>
      <c r="F53" s="421"/>
    </row>
    <row r="54" spans="1:7" ht="15.75">
      <c r="A54" s="362" t="s">
        <v>606</v>
      </c>
      <c r="B54" s="370" t="s">
        <v>369</v>
      </c>
      <c r="C54" s="109" t="s">
        <v>485</v>
      </c>
      <c r="D54" s="109" t="s">
        <v>431</v>
      </c>
      <c r="E54" s="86"/>
      <c r="F54" s="421"/>
    </row>
    <row r="55" spans="1:7" ht="14.25">
      <c r="A55" s="362">
        <v>19</v>
      </c>
      <c r="B55" s="676">
        <f>B93</f>
        <v>0.6</v>
      </c>
      <c r="C55" s="351" t="s">
        <v>419</v>
      </c>
      <c r="D55" s="351" t="s">
        <v>349</v>
      </c>
      <c r="E55" s="358">
        <f>E50*E$80/860*3.6</f>
        <v>0</v>
      </c>
      <c r="F55" s="431">
        <f>F50*F$80/860*3.6</f>
        <v>0</v>
      </c>
    </row>
    <row r="56" spans="1:7" ht="14.25">
      <c r="A56" s="362">
        <v>20</v>
      </c>
      <c r="B56" s="677">
        <f>B94</f>
        <v>0.6</v>
      </c>
      <c r="C56" s="351" t="s">
        <v>420</v>
      </c>
      <c r="D56" s="351" t="s">
        <v>349</v>
      </c>
      <c r="E56" s="358">
        <f>E53*E$83/860*3.6</f>
        <v>0</v>
      </c>
      <c r="F56" s="431">
        <f>F53*F$83/860*3.6</f>
        <v>0</v>
      </c>
    </row>
    <row r="57" spans="1:7" ht="15.75">
      <c r="A57" s="362">
        <v>21</v>
      </c>
      <c r="B57" s="121" t="s">
        <v>479</v>
      </c>
      <c r="C57" s="109" t="s">
        <v>497</v>
      </c>
      <c r="D57" s="113" t="s">
        <v>7</v>
      </c>
      <c r="E57" s="381">
        <f>IF(E49=0,0,E45/E49)</f>
        <v>0</v>
      </c>
      <c r="F57" s="437">
        <f>IF(F49=0,0,F45/F49)</f>
        <v>0</v>
      </c>
    </row>
    <row r="58" spans="1:7" ht="16.5" thickBot="1">
      <c r="A58" s="455">
        <v>22</v>
      </c>
      <c r="B58" s="469" t="s">
        <v>493</v>
      </c>
      <c r="C58" s="457" t="s">
        <v>498</v>
      </c>
      <c r="D58" s="465" t="s">
        <v>198</v>
      </c>
      <c r="E58" s="466">
        <f>ROUND(IF(E45=0,0,E48*1000/E45),2)</f>
        <v>0</v>
      </c>
      <c r="F58" s="467">
        <f>ROUND(IF(F45=0,0,F48*1000/F45),2)</f>
        <v>0</v>
      </c>
    </row>
    <row r="59" spans="1:7" s="204" customFormat="1" ht="16.5" thickTop="1">
      <c r="A59" s="460"/>
      <c r="B59" s="468" t="s">
        <v>487</v>
      </c>
      <c r="C59" s="462"/>
      <c r="D59" s="463"/>
      <c r="E59" s="401"/>
      <c r="F59" s="444"/>
    </row>
    <row r="60" spans="1:7" s="204" customFormat="1">
      <c r="A60" s="362">
        <v>23</v>
      </c>
      <c r="B60" s="129" t="s">
        <v>392</v>
      </c>
      <c r="C60" s="109" t="s">
        <v>16</v>
      </c>
      <c r="D60" s="351" t="s">
        <v>70</v>
      </c>
      <c r="E60" s="647">
        <v>266</v>
      </c>
      <c r="F60" s="648">
        <v>792</v>
      </c>
      <c r="G60" s="134"/>
    </row>
    <row r="61" spans="1:7" s="204" customFormat="1">
      <c r="A61" s="362" t="s">
        <v>621</v>
      </c>
      <c r="B61" s="382" t="s">
        <v>391</v>
      </c>
      <c r="C61" s="109" t="s">
        <v>17</v>
      </c>
      <c r="D61" s="351" t="s">
        <v>70</v>
      </c>
      <c r="E61" s="358">
        <f>SUM(E60,-E62)</f>
        <v>216</v>
      </c>
      <c r="F61" s="431">
        <v>692</v>
      </c>
      <c r="G61" s="134"/>
    </row>
    <row r="62" spans="1:7" s="204" customFormat="1">
      <c r="A62" s="362" t="s">
        <v>620</v>
      </c>
      <c r="B62" s="382" t="s">
        <v>155</v>
      </c>
      <c r="C62" s="109" t="s">
        <v>18</v>
      </c>
      <c r="D62" s="351" t="s">
        <v>70</v>
      </c>
      <c r="E62" s="86">
        <v>50</v>
      </c>
      <c r="F62" s="86">
        <v>100</v>
      </c>
      <c r="G62" s="134"/>
    </row>
    <row r="63" spans="1:7" s="204" customFormat="1">
      <c r="A63" s="362" t="s">
        <v>622</v>
      </c>
      <c r="B63" s="383" t="s">
        <v>191</v>
      </c>
      <c r="C63" s="109" t="s">
        <v>16</v>
      </c>
      <c r="D63" s="109" t="s">
        <v>7</v>
      </c>
      <c r="E63" s="374">
        <f>IF(E27=0,0,E60/E27)</f>
        <v>3.7119732068099355E-2</v>
      </c>
      <c r="F63" s="434">
        <f>IF(F27=0,0,F60/F27)</f>
        <v>3.9379474940334128E-2</v>
      </c>
      <c r="G63" s="134"/>
    </row>
    <row r="64" spans="1:7" ht="15.75">
      <c r="A64" s="362">
        <v>24</v>
      </c>
      <c r="B64" s="384" t="s">
        <v>539</v>
      </c>
      <c r="C64" s="109" t="s">
        <v>19</v>
      </c>
      <c r="D64" s="351" t="s">
        <v>70</v>
      </c>
      <c r="E64" s="385">
        <v>6900</v>
      </c>
      <c r="F64" s="438">
        <f>SUM(F65:F67)</f>
        <v>19320</v>
      </c>
    </row>
    <row r="65" spans="1:7" ht="15.75">
      <c r="A65" s="362" t="s">
        <v>607</v>
      </c>
      <c r="B65" s="386" t="s">
        <v>489</v>
      </c>
      <c r="C65" s="109"/>
      <c r="D65" s="351" t="s">
        <v>70</v>
      </c>
      <c r="E65" s="86">
        <v>6900</v>
      </c>
      <c r="F65" s="421">
        <v>19320</v>
      </c>
    </row>
    <row r="66" spans="1:7" ht="15.75">
      <c r="A66" s="362" t="s">
        <v>608</v>
      </c>
      <c r="B66" s="386" t="s">
        <v>490</v>
      </c>
      <c r="C66" s="109"/>
      <c r="D66" s="351" t="s">
        <v>70</v>
      </c>
      <c r="E66" s="86"/>
      <c r="F66" s="421"/>
    </row>
    <row r="67" spans="1:7" s="337" customFormat="1" ht="15.75">
      <c r="A67" s="362" t="s">
        <v>609</v>
      </c>
      <c r="B67" s="387" t="s">
        <v>540</v>
      </c>
      <c r="C67" s="109"/>
      <c r="D67" s="351" t="s">
        <v>70</v>
      </c>
      <c r="E67" s="86"/>
      <c r="F67" s="421"/>
      <c r="G67" s="134"/>
    </row>
    <row r="68" spans="1:7" ht="15.75">
      <c r="A68" s="362">
        <v>25</v>
      </c>
      <c r="B68" s="388" t="s">
        <v>491</v>
      </c>
      <c r="C68" s="351" t="s">
        <v>418</v>
      </c>
      <c r="D68" s="351" t="s">
        <v>374</v>
      </c>
      <c r="E68" s="353">
        <f>E69*860/7000</f>
        <v>2231.5057142857145</v>
      </c>
      <c r="F68" s="426">
        <f>F69*860/7000</f>
        <v>6150.6855714285712</v>
      </c>
    </row>
    <row r="69" spans="1:7" ht="15.75">
      <c r="A69" s="362">
        <v>26</v>
      </c>
      <c r="B69" s="367" t="s">
        <v>499</v>
      </c>
      <c r="C69" s="351" t="s">
        <v>417</v>
      </c>
      <c r="D69" s="109" t="s">
        <v>70</v>
      </c>
      <c r="E69" s="353">
        <f>SUMPRODUCT(E70:E74,E75:E79)/860</f>
        <v>18163.418604651164</v>
      </c>
      <c r="F69" s="426">
        <f>SUMPRODUCT(F70:F74,F75:F79)/860</f>
        <v>50063.719767441864</v>
      </c>
    </row>
    <row r="70" spans="1:7" ht="15.75">
      <c r="A70" s="362" t="s">
        <v>610</v>
      </c>
      <c r="B70" s="389" t="s">
        <v>9</v>
      </c>
      <c r="C70" s="109" t="s">
        <v>21</v>
      </c>
      <c r="D70" s="109" t="s">
        <v>372</v>
      </c>
      <c r="E70" s="390">
        <f t="shared" ref="E70:F74" si="1">SUM(E33,E50)</f>
        <v>1898</v>
      </c>
      <c r="F70" s="439">
        <v>5227</v>
      </c>
    </row>
    <row r="71" spans="1:7" ht="15">
      <c r="A71" s="362" t="s">
        <v>611</v>
      </c>
      <c r="B71" s="389" t="s">
        <v>10</v>
      </c>
      <c r="C71" s="109" t="s">
        <v>22</v>
      </c>
      <c r="D71" s="109" t="s">
        <v>23</v>
      </c>
      <c r="E71" s="390">
        <f t="shared" si="1"/>
        <v>0</v>
      </c>
      <c r="F71" s="439">
        <f t="shared" si="1"/>
        <v>0</v>
      </c>
    </row>
    <row r="72" spans="1:7" ht="15">
      <c r="A72" s="362" t="s">
        <v>612</v>
      </c>
      <c r="B72" s="389" t="s">
        <v>12</v>
      </c>
      <c r="C72" s="109" t="s">
        <v>24</v>
      </c>
      <c r="D72" s="109" t="s">
        <v>23</v>
      </c>
      <c r="E72" s="390">
        <f t="shared" si="1"/>
        <v>0</v>
      </c>
      <c r="F72" s="439">
        <f t="shared" si="1"/>
        <v>0</v>
      </c>
    </row>
    <row r="73" spans="1:7" ht="15">
      <c r="A73" s="362" t="s">
        <v>613</v>
      </c>
      <c r="B73" s="389" t="s">
        <v>11</v>
      </c>
      <c r="C73" s="109" t="s">
        <v>25</v>
      </c>
      <c r="D73" s="109" t="s">
        <v>23</v>
      </c>
      <c r="E73" s="390">
        <f t="shared" si="1"/>
        <v>0</v>
      </c>
      <c r="F73" s="439">
        <f t="shared" si="1"/>
        <v>0</v>
      </c>
    </row>
    <row r="74" spans="1:7" ht="15.75">
      <c r="A74" s="362" t="s">
        <v>614</v>
      </c>
      <c r="B74" s="423" t="s">
        <v>369</v>
      </c>
      <c r="C74" s="109" t="s">
        <v>415</v>
      </c>
      <c r="D74" s="109" t="s">
        <v>431</v>
      </c>
      <c r="E74" s="390">
        <f t="shared" si="1"/>
        <v>0</v>
      </c>
      <c r="F74" s="439">
        <f t="shared" si="1"/>
        <v>0</v>
      </c>
    </row>
    <row r="75" spans="1:7" ht="15.75">
      <c r="A75" s="362" t="s">
        <v>615</v>
      </c>
      <c r="B75" s="391" t="s">
        <v>426</v>
      </c>
      <c r="C75" s="109" t="s">
        <v>740</v>
      </c>
      <c r="D75" s="109" t="s">
        <v>373</v>
      </c>
      <c r="E75" s="420">
        <v>8230</v>
      </c>
      <c r="F75" s="440">
        <v>8237</v>
      </c>
    </row>
    <row r="76" spans="1:7" ht="15.75">
      <c r="A76" s="362" t="s">
        <v>616</v>
      </c>
      <c r="B76" s="392" t="s">
        <v>10</v>
      </c>
      <c r="C76" s="109" t="s">
        <v>741</v>
      </c>
      <c r="D76" s="109" t="s">
        <v>28</v>
      </c>
      <c r="E76" s="420"/>
      <c r="F76" s="440"/>
    </row>
    <row r="77" spans="1:7" ht="15.75">
      <c r="A77" s="362" t="s">
        <v>617</v>
      </c>
      <c r="B77" s="392" t="s">
        <v>12</v>
      </c>
      <c r="C77" s="109" t="s">
        <v>742</v>
      </c>
      <c r="D77" s="109" t="s">
        <v>28</v>
      </c>
      <c r="E77" s="420"/>
      <c r="F77" s="440"/>
    </row>
    <row r="78" spans="1:7" ht="15.75">
      <c r="A78" s="362" t="s">
        <v>618</v>
      </c>
      <c r="B78" s="392" t="s">
        <v>11</v>
      </c>
      <c r="C78" s="109" t="s">
        <v>743</v>
      </c>
      <c r="D78" s="109" t="s">
        <v>28</v>
      </c>
      <c r="E78" s="420"/>
      <c r="F78" s="440"/>
    </row>
    <row r="79" spans="1:7" ht="15.75">
      <c r="A79" s="362" t="s">
        <v>619</v>
      </c>
      <c r="B79" s="423" t="s">
        <v>369</v>
      </c>
      <c r="C79" s="109" t="s">
        <v>744</v>
      </c>
      <c r="D79" s="393" t="s">
        <v>433</v>
      </c>
      <c r="E79" s="420"/>
      <c r="F79" s="440"/>
    </row>
    <row r="80" spans="1:7" ht="15.75">
      <c r="A80" s="362" t="s">
        <v>624</v>
      </c>
      <c r="B80" s="391" t="s">
        <v>425</v>
      </c>
      <c r="C80" s="109" t="s">
        <v>26</v>
      </c>
      <c r="D80" s="109" t="s">
        <v>373</v>
      </c>
      <c r="E80" s="420">
        <v>9145</v>
      </c>
      <c r="F80" s="440">
        <v>9145</v>
      </c>
    </row>
    <row r="81" spans="1:6" ht="15.75">
      <c r="A81" s="362" t="s">
        <v>625</v>
      </c>
      <c r="B81" s="392" t="s">
        <v>10</v>
      </c>
      <c r="C81" s="109" t="s">
        <v>27</v>
      </c>
      <c r="D81" s="109" t="s">
        <v>28</v>
      </c>
      <c r="E81" s="420"/>
      <c r="F81" s="440"/>
    </row>
    <row r="82" spans="1:6" ht="15.75">
      <c r="A82" s="362" t="s">
        <v>626</v>
      </c>
      <c r="B82" s="392" t="s">
        <v>12</v>
      </c>
      <c r="C82" s="109" t="s">
        <v>29</v>
      </c>
      <c r="D82" s="109" t="s">
        <v>28</v>
      </c>
      <c r="E82" s="420"/>
      <c r="F82" s="440"/>
    </row>
    <row r="83" spans="1:6" ht="15.75">
      <c r="A83" s="362" t="s">
        <v>627</v>
      </c>
      <c r="B83" s="394" t="s">
        <v>11</v>
      </c>
      <c r="C83" s="109" t="s">
        <v>30</v>
      </c>
      <c r="D83" s="109" t="s">
        <v>28</v>
      </c>
      <c r="E83" s="420"/>
      <c r="F83" s="440"/>
    </row>
    <row r="84" spans="1:6" ht="15.75">
      <c r="A84" s="362" t="s">
        <v>628</v>
      </c>
      <c r="B84" s="392" t="str">
        <f>$B$79</f>
        <v>друг вид гориво (ВЕИ)</v>
      </c>
      <c r="C84" s="109" t="s">
        <v>370</v>
      </c>
      <c r="D84" s="109" t="s">
        <v>416</v>
      </c>
      <c r="E84" s="420"/>
      <c r="F84" s="440"/>
    </row>
    <row r="85" spans="1:6" ht="15.75">
      <c r="A85" s="362">
        <v>29</v>
      </c>
      <c r="B85" s="395" t="s">
        <v>423</v>
      </c>
      <c r="C85" s="393" t="s">
        <v>348</v>
      </c>
      <c r="D85" s="109" t="s">
        <v>375</v>
      </c>
      <c r="E85" s="390">
        <f>IF(E69=0,0,SUMPRODUCT(E70:E74,E86:E90)/E69)</f>
        <v>60.069380315917371</v>
      </c>
      <c r="F85" s="439">
        <f>IF(F69=0,0,SUMPRODUCT(F70:F74,F86:F90)/F69)</f>
        <v>59.317761320869238</v>
      </c>
    </row>
    <row r="86" spans="1:6" ht="15.75">
      <c r="A86" s="362" t="s">
        <v>629</v>
      </c>
      <c r="B86" s="392" t="s">
        <v>347</v>
      </c>
      <c r="C86" s="393" t="s">
        <v>31</v>
      </c>
      <c r="D86" s="109" t="s">
        <v>376</v>
      </c>
      <c r="E86" s="422">
        <v>574.85</v>
      </c>
      <c r="F86" s="441">
        <v>568.14</v>
      </c>
    </row>
    <row r="87" spans="1:6" ht="15.75">
      <c r="A87" s="362" t="s">
        <v>630</v>
      </c>
      <c r="B87" s="392" t="s">
        <v>10</v>
      </c>
      <c r="C87" s="393" t="s">
        <v>32</v>
      </c>
      <c r="D87" s="109" t="s">
        <v>377</v>
      </c>
      <c r="E87" s="422"/>
      <c r="F87" s="441"/>
    </row>
    <row r="88" spans="1:6" ht="15.75">
      <c r="A88" s="362" t="s">
        <v>631</v>
      </c>
      <c r="B88" s="392" t="s">
        <v>12</v>
      </c>
      <c r="C88" s="393" t="s">
        <v>33</v>
      </c>
      <c r="D88" s="109" t="s">
        <v>377</v>
      </c>
      <c r="E88" s="422"/>
      <c r="F88" s="441"/>
    </row>
    <row r="89" spans="1:6" ht="15.75">
      <c r="A89" s="362" t="s">
        <v>632</v>
      </c>
      <c r="B89" s="392" t="s">
        <v>11</v>
      </c>
      <c r="C89" s="393" t="s">
        <v>34</v>
      </c>
      <c r="D89" s="109" t="s">
        <v>377</v>
      </c>
      <c r="E89" s="422"/>
      <c r="F89" s="441"/>
    </row>
    <row r="90" spans="1:6" ht="15.75">
      <c r="A90" s="362" t="s">
        <v>633</v>
      </c>
      <c r="B90" s="392" t="str">
        <f>$B$79</f>
        <v>друг вид гориво (ВЕИ)</v>
      </c>
      <c r="C90" s="393" t="s">
        <v>371</v>
      </c>
      <c r="D90" s="393" t="s">
        <v>432</v>
      </c>
      <c r="E90" s="422"/>
      <c r="F90" s="441"/>
    </row>
    <row r="91" spans="1:6" ht="15.75">
      <c r="A91" s="362">
        <v>30</v>
      </c>
      <c r="B91" s="391" t="s">
        <v>537</v>
      </c>
      <c r="C91" s="109" t="s">
        <v>318</v>
      </c>
      <c r="D91" s="109" t="s">
        <v>35</v>
      </c>
      <c r="E91" s="396">
        <f>IF(E64=0,0,E27*E42/E64)</f>
        <v>158.91903188405797</v>
      </c>
      <c r="F91" s="442">
        <v>156.44</v>
      </c>
    </row>
    <row r="92" spans="1:6" ht="15.75">
      <c r="A92" s="362">
        <v>31</v>
      </c>
      <c r="B92" s="397" t="s">
        <v>193</v>
      </c>
      <c r="C92" s="109" t="s">
        <v>319</v>
      </c>
      <c r="D92" s="109" t="s">
        <v>198</v>
      </c>
      <c r="E92" s="398">
        <f>IF(E8=0,0,SUM(E68,-E27*E42/1000)/E8*1000)</f>
        <v>160.3057054075868</v>
      </c>
      <c r="F92" s="443">
        <f>IF(F8=0,0,SUM(F68,-F27*F42/1000)/F8*1000)</f>
        <v>165.77923748959043</v>
      </c>
    </row>
    <row r="93" spans="1:6" ht="14.25">
      <c r="A93" s="362">
        <v>32</v>
      </c>
      <c r="B93" s="672">
        <v>0.6</v>
      </c>
      <c r="C93" s="351" t="s">
        <v>419</v>
      </c>
      <c r="D93" s="351" t="s">
        <v>349</v>
      </c>
      <c r="E93" s="358">
        <f>SUM(E38,E55)</f>
        <v>72658.088372093029</v>
      </c>
      <c r="F93" s="431">
        <f>SUM(F38,F55)</f>
        <v>200096.85348837209</v>
      </c>
    </row>
    <row r="94" spans="1:6" ht="14.25">
      <c r="A94" s="362">
        <v>33</v>
      </c>
      <c r="B94" s="673">
        <v>0.6</v>
      </c>
      <c r="C94" s="351" t="s">
        <v>420</v>
      </c>
      <c r="D94" s="351" t="s">
        <v>349</v>
      </c>
      <c r="E94" s="122">
        <f>SUM(E39,E56)</f>
        <v>0</v>
      </c>
      <c r="F94" s="431">
        <f>IF(F$49=0,0,SUM(F53*F83,F36*F83*(F51*F76/(F$49)))*0.86/3600000)</f>
        <v>0</v>
      </c>
    </row>
    <row r="95" spans="1:6" ht="18.75">
      <c r="A95" s="362">
        <v>34</v>
      </c>
      <c r="B95" s="391" t="s">
        <v>721</v>
      </c>
      <c r="C95" s="109"/>
      <c r="D95" s="109" t="s">
        <v>23</v>
      </c>
      <c r="E95" s="88"/>
      <c r="F95" s="441"/>
    </row>
    <row r="96" spans="1:6" ht="18.75">
      <c r="A96" s="362" t="s">
        <v>634</v>
      </c>
      <c r="B96" s="391" t="s">
        <v>722</v>
      </c>
      <c r="C96" s="109"/>
      <c r="D96" s="109" t="s">
        <v>23</v>
      </c>
      <c r="E96" s="390">
        <f>SUM(E95,-E97)</f>
        <v>0</v>
      </c>
      <c r="F96" s="439">
        <f>SUM(F95,-F97)</f>
        <v>0</v>
      </c>
    </row>
    <row r="97" spans="1:6" ht="18.75">
      <c r="A97" s="362" t="s">
        <v>635</v>
      </c>
      <c r="B97" s="391" t="s">
        <v>723</v>
      </c>
      <c r="C97" s="109"/>
      <c r="D97" s="109" t="s">
        <v>23</v>
      </c>
      <c r="E97" s="88"/>
      <c r="F97" s="441"/>
    </row>
    <row r="98" spans="1:6" ht="15.75">
      <c r="A98" s="362" t="s">
        <v>636</v>
      </c>
      <c r="B98" s="391" t="s">
        <v>422</v>
      </c>
      <c r="C98" s="109"/>
      <c r="D98" s="109" t="s">
        <v>23</v>
      </c>
      <c r="E98" s="88"/>
      <c r="F98" s="441"/>
    </row>
    <row r="99" spans="1:6" ht="15.75">
      <c r="A99" s="362" t="s">
        <v>637</v>
      </c>
      <c r="B99" s="391" t="s">
        <v>502</v>
      </c>
      <c r="C99" s="109"/>
      <c r="D99" s="109" t="s">
        <v>23</v>
      </c>
      <c r="E99" s="88"/>
      <c r="F99" s="441"/>
    </row>
    <row r="100" spans="1:6" ht="15.75">
      <c r="A100" s="362">
        <v>35</v>
      </c>
      <c r="B100" s="391" t="s">
        <v>503</v>
      </c>
      <c r="C100" s="109" t="s">
        <v>421</v>
      </c>
      <c r="D100" s="109" t="s">
        <v>377</v>
      </c>
      <c r="E100" s="88"/>
      <c r="F100" s="441"/>
    </row>
    <row r="101" spans="1:6" ht="15.75">
      <c r="A101" s="362">
        <v>36</v>
      </c>
      <c r="B101" s="391" t="s">
        <v>753</v>
      </c>
      <c r="C101" s="109" t="s">
        <v>421</v>
      </c>
      <c r="D101" s="109" t="s">
        <v>377</v>
      </c>
      <c r="E101" s="88"/>
      <c r="F101" s="441"/>
    </row>
    <row r="102" spans="1:6" ht="15.75">
      <c r="A102" s="399">
        <v>37</v>
      </c>
      <c r="B102" s="571" t="s">
        <v>97</v>
      </c>
      <c r="C102" s="400" t="s">
        <v>224</v>
      </c>
      <c r="D102" s="400" t="s">
        <v>164</v>
      </c>
      <c r="E102" s="401">
        <f>SUM(E103:E104)</f>
        <v>1</v>
      </c>
      <c r="F102" s="444">
        <v>1</v>
      </c>
    </row>
    <row r="103" spans="1:6" ht="15.75">
      <c r="A103" s="362" t="s">
        <v>638</v>
      </c>
      <c r="B103" s="392" t="s">
        <v>20</v>
      </c>
      <c r="C103" s="109" t="s">
        <v>225</v>
      </c>
      <c r="D103" s="109" t="s">
        <v>164</v>
      </c>
      <c r="E103" s="86">
        <v>1</v>
      </c>
      <c r="F103" s="421">
        <v>1</v>
      </c>
    </row>
    <row r="104" spans="1:6" ht="15.75">
      <c r="A104" s="362" t="s">
        <v>639</v>
      </c>
      <c r="B104" s="392" t="s">
        <v>222</v>
      </c>
      <c r="C104" s="109" t="s">
        <v>226</v>
      </c>
      <c r="D104" s="109" t="s">
        <v>164</v>
      </c>
      <c r="E104" s="86"/>
      <c r="F104" s="421"/>
    </row>
    <row r="105" spans="1:6" ht="15.75">
      <c r="A105" s="362">
        <v>38</v>
      </c>
      <c r="B105" s="572" t="s">
        <v>733</v>
      </c>
      <c r="C105" s="109" t="s">
        <v>228</v>
      </c>
      <c r="D105" s="402" t="s">
        <v>335</v>
      </c>
      <c r="E105" s="403">
        <v>1742</v>
      </c>
      <c r="F105" s="445">
        <v>3578</v>
      </c>
    </row>
    <row r="106" spans="1:6" ht="15.75">
      <c r="A106" s="362" t="s">
        <v>640</v>
      </c>
      <c r="B106" s="573" t="s">
        <v>247</v>
      </c>
      <c r="C106" s="109"/>
      <c r="D106" s="402" t="s">
        <v>335</v>
      </c>
      <c r="E106" s="403">
        <f>ROUND(IF(E$27=0,0,РБА!D$69*НВ!$F$21),3)</f>
        <v>84.998000000000005</v>
      </c>
      <c r="F106" s="445">
        <v>176</v>
      </c>
    </row>
    <row r="107" spans="1:6" ht="15.75">
      <c r="A107" s="362" t="s">
        <v>641</v>
      </c>
      <c r="B107" s="573" t="s">
        <v>246</v>
      </c>
      <c r="C107" s="175"/>
      <c r="D107" s="402" t="s">
        <v>335</v>
      </c>
      <c r="E107" s="403">
        <v>1657</v>
      </c>
      <c r="F107" s="445">
        <v>3402</v>
      </c>
    </row>
    <row r="108" spans="1:6" ht="15.75">
      <c r="A108" s="362" t="s">
        <v>642</v>
      </c>
      <c r="B108" s="573" t="s">
        <v>245</v>
      </c>
      <c r="C108" s="175"/>
      <c r="D108" s="402" t="s">
        <v>335</v>
      </c>
      <c r="E108" s="403">
        <f>ROUND(IF(E$27=0,0,SUM(Разходи!D$14,Разходи!D$19,SUM(Разходи!D11,-SUM(Разходи!D14:D15,Разходи!D19:D20))*Коефициенти!E27)),3)</f>
        <v>700.44299999999998</v>
      </c>
      <c r="F108" s="445">
        <f>ROUND(IF(F$27=0,0,SUM(Разходи!G$14,Разходи!G$19,SUM(Разходи!G11,-SUM(Разходи!G14:G15,Разходи!G19:G20))*Коефициенти!F27)),3)</f>
        <v>814.79399999999998</v>
      </c>
    </row>
    <row r="109" spans="1:6" ht="15.75">
      <c r="A109" s="362" t="s">
        <v>643</v>
      </c>
      <c r="B109" s="573" t="s">
        <v>244</v>
      </c>
      <c r="C109" s="175"/>
      <c r="D109" s="402" t="s">
        <v>335</v>
      </c>
      <c r="E109" s="669">
        <v>956</v>
      </c>
      <c r="F109" s="670">
        <v>2587</v>
      </c>
    </row>
    <row r="110" spans="1:6" ht="15.75">
      <c r="A110" s="362">
        <v>39</v>
      </c>
      <c r="B110" s="404" t="s">
        <v>223</v>
      </c>
      <c r="C110" s="109" t="s">
        <v>227</v>
      </c>
      <c r="D110" s="109" t="s">
        <v>375</v>
      </c>
      <c r="E110" s="405">
        <f>IF(E$64=0,0,ROUND(E105/E$64*1000,2))</f>
        <v>252.46</v>
      </c>
      <c r="F110" s="446">
        <v>185.21</v>
      </c>
    </row>
    <row r="111" spans="1:6" ht="15.75">
      <c r="A111" s="362">
        <v>40</v>
      </c>
      <c r="B111" s="406" t="s">
        <v>424</v>
      </c>
      <c r="C111" s="109" t="s">
        <v>227</v>
      </c>
      <c r="D111" s="109" t="s">
        <v>375</v>
      </c>
      <c r="E111" s="407">
        <f>ROUND(IF(SUM(E$20,-E$14)=0,0,E112*1000/SUM(E$20,-E$14)),2)</f>
        <v>169.77</v>
      </c>
      <c r="F111" s="447">
        <v>60.19</v>
      </c>
    </row>
    <row r="112" spans="1:6" ht="15.75">
      <c r="A112" s="362" t="s">
        <v>644</v>
      </c>
      <c r="B112" s="574" t="s">
        <v>158</v>
      </c>
      <c r="C112" s="109" t="s">
        <v>233</v>
      </c>
      <c r="D112" s="402" t="s">
        <v>335</v>
      </c>
      <c r="E112" s="408">
        <f>SUM(Разходи!D8,-E$105)</f>
        <v>1202</v>
      </c>
      <c r="F112" s="448">
        <v>1136</v>
      </c>
    </row>
    <row r="113" spans="1:7" ht="15.75">
      <c r="A113" s="362" t="s">
        <v>645</v>
      </c>
      <c r="B113" s="574" t="s">
        <v>734</v>
      </c>
      <c r="C113" s="109"/>
      <c r="D113" s="402" t="s">
        <v>335</v>
      </c>
      <c r="E113" s="409">
        <f>SUM(Разходи!D$9,-E$106)</f>
        <v>571.00199999999995</v>
      </c>
      <c r="F113" s="449">
        <v>18</v>
      </c>
    </row>
    <row r="114" spans="1:7" ht="14.25">
      <c r="A114" s="362" t="s">
        <v>646</v>
      </c>
      <c r="B114" s="575" t="s">
        <v>735</v>
      </c>
      <c r="C114" s="175"/>
      <c r="D114" s="402" t="s">
        <v>335</v>
      </c>
      <c r="E114" s="409">
        <v>631</v>
      </c>
      <c r="F114" s="449">
        <f>SUM(Разходи!G$10,-F$107)</f>
        <v>1118</v>
      </c>
    </row>
    <row r="115" spans="1:7" ht="14.25">
      <c r="A115" s="362" t="s">
        <v>647</v>
      </c>
      <c r="B115" s="575" t="s">
        <v>736</v>
      </c>
      <c r="C115" s="175"/>
      <c r="D115" s="402" t="s">
        <v>335</v>
      </c>
      <c r="E115" s="409">
        <f>SUM(Разходи!D$11,-E$108)</f>
        <v>291.55700000000002</v>
      </c>
      <c r="F115" s="449">
        <f>SUM(Разходи!G$11,-F$108)</f>
        <v>304.20600000000002</v>
      </c>
    </row>
    <row r="116" spans="1:7" ht="15.75">
      <c r="A116" s="362" t="s">
        <v>648</v>
      </c>
      <c r="B116" s="574" t="s">
        <v>737</v>
      </c>
      <c r="C116" s="175"/>
      <c r="D116" s="402" t="s">
        <v>335</v>
      </c>
      <c r="E116" s="409">
        <v>339</v>
      </c>
      <c r="F116" s="449">
        <v>813</v>
      </c>
    </row>
    <row r="117" spans="1:7" ht="15.75" hidden="1">
      <c r="A117" s="362">
        <v>41</v>
      </c>
      <c r="B117" s="570" t="s">
        <v>313</v>
      </c>
      <c r="C117" s="109"/>
      <c r="D117" s="109" t="s">
        <v>375</v>
      </c>
      <c r="E117" s="576"/>
      <c r="F117" s="577"/>
    </row>
    <row r="118" spans="1:7" s="336" customFormat="1" ht="15.75">
      <c r="A118" s="362">
        <v>41</v>
      </c>
      <c r="B118" s="404" t="s">
        <v>197</v>
      </c>
      <c r="C118" s="146" t="s">
        <v>231</v>
      </c>
      <c r="D118" s="146" t="s">
        <v>375</v>
      </c>
      <c r="E118" s="410">
        <f>SUM(E$110,E$117)</f>
        <v>252.46</v>
      </c>
      <c r="F118" s="450">
        <f>SUM(F$110,F$117)</f>
        <v>185.21</v>
      </c>
      <c r="G118" s="134"/>
    </row>
    <row r="119" spans="1:7" ht="15.75">
      <c r="A119" s="362">
        <v>42</v>
      </c>
      <c r="B119" s="671">
        <v>2008</v>
      </c>
      <c r="C119" s="109" t="s">
        <v>230</v>
      </c>
      <c r="D119" s="109" t="s">
        <v>375</v>
      </c>
      <c r="E119" s="411">
        <f>IF(B119&lt;2004,E110,E118)</f>
        <v>252.46</v>
      </c>
      <c r="F119" s="451">
        <f>IF(C119&lt;2004,F110,F118)</f>
        <v>185.21</v>
      </c>
    </row>
    <row r="120" spans="1:7" ht="15.75">
      <c r="A120" s="362">
        <v>43</v>
      </c>
      <c r="B120" s="391" t="s">
        <v>312</v>
      </c>
      <c r="C120" s="109" t="s">
        <v>229</v>
      </c>
      <c r="D120" s="109" t="s">
        <v>375</v>
      </c>
      <c r="E120" s="390">
        <f>E110</f>
        <v>252.46</v>
      </c>
      <c r="F120" s="439">
        <f>F110</f>
        <v>185.21</v>
      </c>
    </row>
    <row r="121" spans="1:7" ht="15.75">
      <c r="A121" s="362">
        <v>44</v>
      </c>
      <c r="B121" s="391" t="s">
        <v>157</v>
      </c>
      <c r="C121" s="109" t="s">
        <v>232</v>
      </c>
      <c r="D121" s="402" t="s">
        <v>335</v>
      </c>
      <c r="E121" s="412">
        <f>SUMPRODUCT(E65:E67,E118:E120)/1000</f>
        <v>1741.9739999999999</v>
      </c>
      <c r="F121" s="449">
        <f>SUMPRODUCT(F65:F67,F118:F120)/1000</f>
        <v>3578.2572</v>
      </c>
    </row>
    <row r="122" spans="1:7" ht="15.75">
      <c r="A122" s="213">
        <v>45</v>
      </c>
      <c r="B122" s="452" t="s">
        <v>541</v>
      </c>
      <c r="C122" s="109" t="s">
        <v>233</v>
      </c>
      <c r="D122" s="402" t="s">
        <v>335</v>
      </c>
      <c r="E122" s="412">
        <f>SUM(Разходи!D$8,-E$121)</f>
        <v>1202.0260000000001</v>
      </c>
      <c r="F122" s="449">
        <v>1136</v>
      </c>
    </row>
    <row r="123" spans="1:7" ht="15.75">
      <c r="A123" s="362">
        <v>46</v>
      </c>
      <c r="B123" s="567" t="s">
        <v>196</v>
      </c>
      <c r="C123" s="413" t="s">
        <v>159</v>
      </c>
      <c r="D123" s="109" t="s">
        <v>375</v>
      </c>
      <c r="E123" s="414">
        <f>IF(E8=0,0,ROUND(E122/E8*1000,2))</f>
        <v>169.78</v>
      </c>
      <c r="F123" s="453">
        <v>60.19</v>
      </c>
    </row>
    <row r="124" spans="1:7" ht="15.75">
      <c r="A124" s="362">
        <v>47</v>
      </c>
      <c r="B124" s="568" t="s">
        <v>194</v>
      </c>
      <c r="C124" s="415" t="s">
        <v>87</v>
      </c>
      <c r="D124" s="400" t="s">
        <v>375</v>
      </c>
      <c r="E124" s="416">
        <f>IF(E9=0,0,SUM(IF(E8=0,0,IF(Разходи!D8=0,0,E122/Разходи!D8*Разходи!D61)/E8*1000)*E9,IF(E102=0,0,SUM(E122,-IF(Разходи!D8=0,0,E122/Разходи!D8*Разходи!D61))/E102*E103*1000/E9)*E9)/E9)</f>
        <v>169.7776836158192</v>
      </c>
      <c r="F124" s="454">
        <v>60.19</v>
      </c>
    </row>
    <row r="125" spans="1:7" ht="16.5" thickBot="1">
      <c r="A125" s="455">
        <v>48</v>
      </c>
      <c r="B125" s="569" t="s">
        <v>195</v>
      </c>
      <c r="C125" s="456" t="s">
        <v>168</v>
      </c>
      <c r="D125" s="457" t="s">
        <v>375</v>
      </c>
      <c r="E125" s="458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59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66" t="s">
        <v>0</v>
      </c>
      <c r="B128" s="770">
        <f>B5</f>
        <v>7.2020999999999997</v>
      </c>
      <c r="C128" s="772" t="s">
        <v>42</v>
      </c>
      <c r="D128" s="777" t="s">
        <v>14</v>
      </c>
      <c r="E128" s="341" t="s">
        <v>332</v>
      </c>
      <c r="F128" s="342" t="s">
        <v>333</v>
      </c>
    </row>
    <row r="129" spans="1:6" ht="15.75">
      <c r="A129" s="767"/>
      <c r="B129" s="771"/>
      <c r="C129" s="773"/>
      <c r="D129" s="778"/>
      <c r="E129" s="343">
        <f>($B$5-7.0001)*10000</f>
        <v>2019.9999999999995</v>
      </c>
      <c r="F129" s="520">
        <f>$B$5</f>
        <v>7.2020999999999997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1">
        <v>6</v>
      </c>
    </row>
    <row r="131" spans="1:6" ht="15">
      <c r="A131" s="580">
        <v>1</v>
      </c>
      <c r="B131" s="578" t="s">
        <v>712</v>
      </c>
      <c r="C131" s="121"/>
      <c r="D131" s="326" t="s">
        <v>710</v>
      </c>
      <c r="E131" s="305">
        <f>SUM(E133,-E132)</f>
        <v>0</v>
      </c>
      <c r="F131" s="581">
        <f>SUM(F133,-F132)</f>
        <v>0</v>
      </c>
    </row>
    <row r="132" spans="1:6" ht="15">
      <c r="A132" s="580">
        <v>2</v>
      </c>
      <c r="B132" s="578" t="s">
        <v>714</v>
      </c>
      <c r="C132" s="121"/>
      <c r="D132" s="326" t="s">
        <v>710</v>
      </c>
      <c r="E132" s="302"/>
      <c r="F132" s="544"/>
    </row>
    <row r="133" spans="1:6" ht="16.5" thickBot="1">
      <c r="A133" s="582">
        <v>3</v>
      </c>
      <c r="B133" s="583" t="s">
        <v>713</v>
      </c>
      <c r="C133" s="469"/>
      <c r="D133" s="545" t="s">
        <v>710</v>
      </c>
      <c r="E133" s="584"/>
      <c r="F133" s="585"/>
    </row>
    <row r="134" spans="1:6" ht="14.25" thickTop="1">
      <c r="A134" s="540"/>
      <c r="B134" s="566"/>
      <c r="C134" s="542"/>
      <c r="D134" s="542"/>
      <c r="E134" s="542"/>
    </row>
    <row r="135" spans="1:6" ht="13.5">
      <c r="A135" s="540"/>
      <c r="B135" s="566"/>
      <c r="C135" s="542"/>
      <c r="D135" s="542"/>
      <c r="E135" s="542"/>
    </row>
    <row r="136" spans="1:6" ht="13.5">
      <c r="A136" s="540"/>
      <c r="B136" s="566"/>
      <c r="C136" s="542"/>
      <c r="D136" s="542"/>
      <c r="E136" s="542"/>
    </row>
    <row r="137" spans="1:6">
      <c r="F137" s="417"/>
    </row>
    <row r="138" spans="1:6" ht="15.75">
      <c r="A138" s="108" t="str">
        <f>Разходи!$A$91</f>
        <v>Гл. счетоводител:</v>
      </c>
      <c r="B138" s="418"/>
      <c r="C138" s="419" t="str">
        <f>Разходи!$E$91</f>
        <v>Изп. директор:</v>
      </c>
      <c r="D138" s="419"/>
      <c r="E138" s="204"/>
      <c r="F138" s="204"/>
    </row>
    <row r="139" spans="1:6">
      <c r="B139" s="204" t="str">
        <f>Разходи!$B$93</f>
        <v>М.Тодорова</v>
      </c>
      <c r="C139" s="419"/>
      <c r="D139" s="774" t="str">
        <f>Разходи!$F$93</f>
        <v>Т.Йорданов</v>
      </c>
      <c r="E139" s="774"/>
      <c r="F139" s="77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1:F21 E22:F22" unlockedFormula="1"/>
    <ignoredError sqref="E24:F24 E69 F69" formulaRange="1"/>
    <ignoredError sqref="E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13" activePane="bottomLeft" state="frozen"/>
      <selection pane="bottomLeft" activeCell="C66" sqref="C66"/>
    </sheetView>
  </sheetViews>
  <sheetFormatPr defaultColWidth="0" defaultRowHeight="12.75" zeroHeight="1"/>
  <cols>
    <col min="1" max="1" width="4.42578125" style="288" customWidth="1"/>
    <col min="2" max="2" width="59" style="288" customWidth="1"/>
    <col min="3" max="3" width="7.5703125" style="288" bestFit="1" customWidth="1"/>
    <col min="4" max="4" width="10.570312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794">
        <v>5</v>
      </c>
      <c r="C1" s="794"/>
      <c r="D1" s="287"/>
      <c r="E1" s="135" t="s">
        <v>683</v>
      </c>
    </row>
    <row r="2" spans="1:6" ht="15.75">
      <c r="A2" s="289"/>
      <c r="B2" s="795" t="s">
        <v>203</v>
      </c>
      <c r="C2" s="795"/>
      <c r="D2" s="289"/>
      <c r="E2" s="289"/>
    </row>
    <row r="3" spans="1:6">
      <c r="A3" s="290"/>
      <c r="B3" s="796" t="str">
        <f>'ТИП-ПРОИЗ'!$B$3:$C$3</f>
        <v>Инертстрой Калето АД</v>
      </c>
      <c r="C3" s="796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797" t="s">
        <v>37</v>
      </c>
      <c r="B5" s="799" t="s">
        <v>328</v>
      </c>
      <c r="C5" s="788" t="s">
        <v>2</v>
      </c>
      <c r="D5" s="292" t="s">
        <v>332</v>
      </c>
      <c r="E5" s="293" t="s">
        <v>333</v>
      </c>
    </row>
    <row r="6" spans="1:6">
      <c r="A6" s="798"/>
      <c r="B6" s="800"/>
      <c r="C6" s="789"/>
      <c r="D6" s="294">
        <f>'ТИП-ПРОИЗ'!E6</f>
        <v>2019.9999999999995</v>
      </c>
      <c r="E6" s="650">
        <f>'ТИП-ПРОИЗ'!F6</f>
        <v>7.2020999999999997</v>
      </c>
    </row>
    <row r="7" spans="1:6" ht="15.75">
      <c r="A7" s="295">
        <v>1</v>
      </c>
      <c r="B7" s="296" t="s">
        <v>383</v>
      </c>
      <c r="C7" s="297" t="s">
        <v>70</v>
      </c>
      <c r="D7" s="298">
        <f>SUM(D8:D9)</f>
        <v>0</v>
      </c>
      <c r="E7" s="523">
        <f>SUM(E8:E9)</f>
        <v>0</v>
      </c>
      <c r="F7" s="299"/>
    </row>
    <row r="8" spans="1:6">
      <c r="A8" s="300">
        <v>2</v>
      </c>
      <c r="B8" s="301" t="s">
        <v>184</v>
      </c>
      <c r="C8" s="297" t="s">
        <v>70</v>
      </c>
      <c r="D8" s="56"/>
      <c r="E8" s="57"/>
      <c r="F8" s="299"/>
    </row>
    <row r="9" spans="1:6">
      <c r="A9" s="295">
        <v>3</v>
      </c>
      <c r="B9" s="303" t="s">
        <v>181</v>
      </c>
      <c r="C9" s="297" t="s">
        <v>70</v>
      </c>
      <c r="D9" s="56"/>
      <c r="E9" s="57"/>
      <c r="F9" s="299"/>
    </row>
    <row r="10" spans="1:6">
      <c r="A10" s="300">
        <v>4</v>
      </c>
      <c r="B10" s="304" t="s">
        <v>180</v>
      </c>
      <c r="C10" s="297" t="s">
        <v>70</v>
      </c>
      <c r="D10" s="58"/>
      <c r="E10" s="524"/>
    </row>
    <row r="11" spans="1:6">
      <c r="A11" s="295">
        <v>5</v>
      </c>
      <c r="B11" s="304" t="s">
        <v>180</v>
      </c>
      <c r="C11" s="305" t="s">
        <v>7</v>
      </c>
      <c r="D11" s="306">
        <f>IF(D12=0,0,ROUND(D10/D12,4))</f>
        <v>0</v>
      </c>
      <c r="E11" s="320">
        <f>IF(E12=0,0,ROUND(E10/E12,4))</f>
        <v>0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0</v>
      </c>
      <c r="E12" s="525">
        <f>SUM(E7,E10)</f>
        <v>0</v>
      </c>
    </row>
    <row r="13" spans="1:6" ht="13.5">
      <c r="A13" s="295">
        <v>7</v>
      </c>
      <c r="B13" s="308" t="s">
        <v>337</v>
      </c>
      <c r="C13" s="297" t="s">
        <v>335</v>
      </c>
      <c r="D13" s="309">
        <f>D20*D12/1000</f>
        <v>0</v>
      </c>
      <c r="E13" s="310">
        <f>E20*E12/1000</f>
        <v>0</v>
      </c>
    </row>
    <row r="14" spans="1:6">
      <c r="A14" s="300">
        <v>8</v>
      </c>
      <c r="B14" s="304" t="s">
        <v>529</v>
      </c>
      <c r="C14" s="297" t="s">
        <v>335</v>
      </c>
      <c r="D14" s="309">
        <f>SUM(D15:D16)</f>
        <v>0</v>
      </c>
      <c r="E14" s="310">
        <f>SUM(E15:E16)</f>
        <v>0</v>
      </c>
    </row>
    <row r="15" spans="1:6">
      <c r="A15" s="295">
        <v>9</v>
      </c>
      <c r="B15" s="304" t="s">
        <v>336</v>
      </c>
      <c r="C15" s="297" t="s">
        <v>335</v>
      </c>
      <c r="D15" s="309">
        <f>Разходи!E9</f>
        <v>0</v>
      </c>
      <c r="E15" s="310">
        <f>Разходи!H9</f>
        <v>0</v>
      </c>
    </row>
    <row r="16" spans="1:6">
      <c r="A16" s="300">
        <v>10</v>
      </c>
      <c r="B16" s="304" t="s">
        <v>544</v>
      </c>
      <c r="C16" s="297" t="s">
        <v>335</v>
      </c>
      <c r="D16" s="309">
        <f>SUM(D17:D18)</f>
        <v>0</v>
      </c>
      <c r="E16" s="310">
        <f>SUM(E17:E18)</f>
        <v>0</v>
      </c>
    </row>
    <row r="17" spans="1:6">
      <c r="A17" s="295">
        <v>11</v>
      </c>
      <c r="B17" s="304" t="s">
        <v>338</v>
      </c>
      <c r="C17" s="297" t="s">
        <v>335</v>
      </c>
      <c r="D17" s="309">
        <f>Разходи!E11</f>
        <v>0</v>
      </c>
      <c r="E17" s="310">
        <f>Разходи!H11</f>
        <v>0</v>
      </c>
    </row>
    <row r="18" spans="1:6">
      <c r="A18" s="300">
        <v>12</v>
      </c>
      <c r="B18" s="304" t="s">
        <v>531</v>
      </c>
      <c r="C18" s="297" t="s">
        <v>335</v>
      </c>
      <c r="D18" s="309">
        <f>Разходи!E61</f>
        <v>0</v>
      </c>
      <c r="E18" s="310">
        <f>Разходи!H61</f>
        <v>0</v>
      </c>
    </row>
    <row r="19" spans="1:6">
      <c r="A19" s="295">
        <v>13</v>
      </c>
      <c r="B19" s="304" t="s">
        <v>462</v>
      </c>
      <c r="C19" s="297" t="s">
        <v>335</v>
      </c>
      <c r="D19" s="309">
        <f>D10*D20/1000</f>
        <v>0</v>
      </c>
      <c r="E19" s="310">
        <f>E10*E20/1000</f>
        <v>0</v>
      </c>
    </row>
    <row r="20" spans="1:6" ht="13.5">
      <c r="A20" s="300">
        <v>14</v>
      </c>
      <c r="B20" s="311" t="s">
        <v>326</v>
      </c>
      <c r="C20" s="297" t="s">
        <v>199</v>
      </c>
      <c r="D20" s="312">
        <f>'ТИП-ПРОИЗ'!E124</f>
        <v>169.7776836158192</v>
      </c>
      <c r="E20" s="526">
        <f>'ТИП-ПРОИЗ'!F124</f>
        <v>60.19</v>
      </c>
      <c r="F20" s="299"/>
    </row>
    <row r="21" spans="1:6">
      <c r="A21" s="295">
        <v>15</v>
      </c>
      <c r="B21" s="313" t="s">
        <v>530</v>
      </c>
      <c r="C21" s="297" t="s">
        <v>199</v>
      </c>
      <c r="D21" s="314">
        <f>IF(D7=0,0,SUM(D14,D19)/D7*1000)</f>
        <v>0</v>
      </c>
      <c r="E21" s="527">
        <f>IF(E7=0,0,SUM(E14,E19)/E7*1000)</f>
        <v>0</v>
      </c>
      <c r="F21" s="299"/>
    </row>
    <row r="22" spans="1:6">
      <c r="A22" s="300">
        <v>16</v>
      </c>
      <c r="B22" s="313" t="s">
        <v>707</v>
      </c>
      <c r="C22" s="297" t="s">
        <v>199</v>
      </c>
      <c r="D22" s="314">
        <f>IF(D7=0,0,D19/D7*1000)</f>
        <v>0</v>
      </c>
      <c r="E22" s="527">
        <f>IF(E7=0,0,E19/E7*1000)</f>
        <v>0</v>
      </c>
      <c r="F22" s="299"/>
    </row>
    <row r="23" spans="1:6" ht="15.75">
      <c r="A23" s="295">
        <v>17</v>
      </c>
      <c r="B23" s="538" t="s">
        <v>183</v>
      </c>
      <c r="C23" s="297" t="s">
        <v>199</v>
      </c>
      <c r="D23" s="315">
        <f>ROUNDUP(IF(D7=0,0,SUM(D20*D12,D14*1000)/D7),2)</f>
        <v>0</v>
      </c>
      <c r="E23" s="316">
        <f>ROUNDUP(IF(E7=0,0,SUM(E20*E12,E14*1000)/E7),2)</f>
        <v>0</v>
      </c>
    </row>
    <row r="24" spans="1:6" ht="13.5" thickBot="1">
      <c r="A24" s="528">
        <v>18</v>
      </c>
      <c r="B24" s="529" t="s">
        <v>542</v>
      </c>
      <c r="C24" s="530" t="s">
        <v>96</v>
      </c>
      <c r="D24" s="531">
        <f>D23*D7/1000</f>
        <v>0</v>
      </c>
      <c r="E24" s="532">
        <f>E23*E7/1000</f>
        <v>0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82" t="s">
        <v>37</v>
      </c>
      <c r="B27" s="780" t="s">
        <v>327</v>
      </c>
      <c r="C27" s="784" t="s">
        <v>2</v>
      </c>
      <c r="D27" s="653" t="s">
        <v>332</v>
      </c>
      <c r="E27" s="293" t="s">
        <v>333</v>
      </c>
    </row>
    <row r="28" spans="1:6" ht="13.5" customHeight="1">
      <c r="A28" s="783"/>
      <c r="B28" s="781"/>
      <c r="C28" s="785"/>
      <c r="D28" s="654">
        <f>D6</f>
        <v>2019.9999999999995</v>
      </c>
      <c r="E28" s="650">
        <f>E6</f>
        <v>7.2020999999999997</v>
      </c>
    </row>
    <row r="29" spans="1:6">
      <c r="A29" s="317">
        <v>1</v>
      </c>
      <c r="B29" s="318">
        <v>2</v>
      </c>
      <c r="C29" s="319">
        <v>3</v>
      </c>
      <c r="D29" s="651">
        <v>5</v>
      </c>
      <c r="E29" s="652">
        <v>8</v>
      </c>
    </row>
    <row r="30" spans="1:6" ht="15.75">
      <c r="A30" s="300">
        <v>1</v>
      </c>
      <c r="B30" s="539" t="s">
        <v>330</v>
      </c>
      <c r="C30" s="297" t="s">
        <v>70</v>
      </c>
      <c r="D30" s="84"/>
      <c r="E30" s="85"/>
    </row>
    <row r="31" spans="1:6">
      <c r="A31" s="300">
        <v>2</v>
      </c>
      <c r="B31" s="304" t="s">
        <v>180</v>
      </c>
      <c r="C31" s="297" t="s">
        <v>70</v>
      </c>
      <c r="D31" s="56"/>
      <c r="E31" s="57"/>
    </row>
    <row r="32" spans="1:6">
      <c r="A32" s="300">
        <v>3</v>
      </c>
      <c r="B32" s="304" t="s">
        <v>180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331</v>
      </c>
      <c r="C33" s="297" t="s">
        <v>70</v>
      </c>
      <c r="D33" s="321">
        <f>SUM(D30:D31)</f>
        <v>0</v>
      </c>
      <c r="E33" s="322">
        <f>SUM(E30:E31)</f>
        <v>0</v>
      </c>
      <c r="F33" s="299"/>
    </row>
    <row r="34" spans="1:6">
      <c r="A34" s="300">
        <v>5</v>
      </c>
      <c r="B34" s="323" t="s">
        <v>339</v>
      </c>
      <c r="C34" s="297" t="s">
        <v>335</v>
      </c>
      <c r="D34" s="309">
        <f>D33*D41/1000</f>
        <v>0</v>
      </c>
      <c r="E34" s="310">
        <f>E33*E41/1000</f>
        <v>0</v>
      </c>
      <c r="F34" s="299"/>
    </row>
    <row r="35" spans="1:6">
      <c r="A35" s="300">
        <v>6</v>
      </c>
      <c r="B35" s="304" t="s">
        <v>340</v>
      </c>
      <c r="C35" s="297" t="s">
        <v>335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341</v>
      </c>
      <c r="C36" s="297" t="s">
        <v>335</v>
      </c>
      <c r="D36" s="56"/>
      <c r="E36" s="57"/>
      <c r="F36" s="299"/>
    </row>
    <row r="37" spans="1:6">
      <c r="A37" s="300">
        <v>8</v>
      </c>
      <c r="B37" s="304" t="s">
        <v>543</v>
      </c>
      <c r="C37" s="297" t="s">
        <v>335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342</v>
      </c>
      <c r="C38" s="297" t="s">
        <v>335</v>
      </c>
      <c r="D38" s="309"/>
      <c r="E38" s="310"/>
      <c r="F38" s="299"/>
    </row>
    <row r="39" spans="1:6">
      <c r="A39" s="300">
        <v>10</v>
      </c>
      <c r="B39" s="304" t="s">
        <v>545</v>
      </c>
      <c r="C39" s="297" t="s">
        <v>335</v>
      </c>
      <c r="D39" s="309"/>
      <c r="E39" s="310"/>
      <c r="F39" s="299"/>
    </row>
    <row r="40" spans="1:6">
      <c r="A40" s="300">
        <v>11</v>
      </c>
      <c r="B40" s="304" t="s">
        <v>463</v>
      </c>
      <c r="C40" s="297" t="s">
        <v>335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324</v>
      </c>
      <c r="C41" s="297" t="s">
        <v>199</v>
      </c>
      <c r="D41" s="314">
        <f>'ТИП-ПРОИЗ'!E125</f>
        <v>0</v>
      </c>
      <c r="E41" s="527">
        <f>'ТИП-ПРОИЗ'!F125</f>
        <v>0</v>
      </c>
      <c r="F41" s="299"/>
    </row>
    <row r="42" spans="1:6">
      <c r="A42" s="300">
        <v>13</v>
      </c>
      <c r="B42" s="313" t="s">
        <v>325</v>
      </c>
      <c r="C42" s="297" t="s">
        <v>199</v>
      </c>
      <c r="D42" s="314">
        <f>IF(D30=0,0,SUM(D35,D40)/D30*1000)</f>
        <v>0</v>
      </c>
      <c r="E42" s="527">
        <f>IF(E30=0,0,SUM(E35,E40)/E30*1000)</f>
        <v>0</v>
      </c>
      <c r="F42" s="299"/>
    </row>
    <row r="43" spans="1:6">
      <c r="A43" s="300">
        <v>14</v>
      </c>
      <c r="B43" s="313" t="s">
        <v>708</v>
      </c>
      <c r="C43" s="297" t="s">
        <v>199</v>
      </c>
      <c r="D43" s="314">
        <f>IF(D30=0,0,D40/D30*1000)</f>
        <v>0</v>
      </c>
      <c r="E43" s="527">
        <f>IF(E30=0,0,E40/E30*1000)</f>
        <v>0</v>
      </c>
      <c r="F43" s="299"/>
    </row>
    <row r="44" spans="1:6" ht="15.75">
      <c r="A44" s="300">
        <v>15</v>
      </c>
      <c r="B44" s="538" t="s">
        <v>182</v>
      </c>
      <c r="C44" s="297" t="s">
        <v>199</v>
      </c>
      <c r="D44" s="324">
        <f>ROUNDUP(IF(D30=0,0,SUM(D41*D33,D35*1000)/D30),4)</f>
        <v>0</v>
      </c>
      <c r="E44" s="325">
        <f>ROUNDUP(IF(E30=0,0,SUM(E41*E33,E35*1000)/E30),4)</f>
        <v>0</v>
      </c>
      <c r="F44" s="299"/>
    </row>
    <row r="45" spans="1:6" ht="13.5" thickBot="1">
      <c r="A45" s="528">
        <v>16</v>
      </c>
      <c r="B45" s="529" t="s">
        <v>334</v>
      </c>
      <c r="C45" s="530" t="s">
        <v>96</v>
      </c>
      <c r="D45" s="531">
        <f>D44*D30/1000</f>
        <v>0</v>
      </c>
      <c r="E45" s="532">
        <f>E44*E30/1000</f>
        <v>0</v>
      </c>
    </row>
    <row r="46" spans="1:6" s="124" customFormat="1" ht="13.5" thickTop="1"/>
    <row r="47" spans="1:6" s="124" customFormat="1" ht="13.5" thickBot="1"/>
    <row r="48" spans="1:6" ht="13.5" thickTop="1">
      <c r="A48" s="790" t="s">
        <v>37</v>
      </c>
      <c r="B48" s="792" t="s">
        <v>711</v>
      </c>
      <c r="C48" s="788" t="s">
        <v>2</v>
      </c>
      <c r="D48" s="292" t="s">
        <v>332</v>
      </c>
      <c r="E48" s="293" t="s">
        <v>333</v>
      </c>
    </row>
    <row r="49" spans="1:5">
      <c r="A49" s="791"/>
      <c r="B49" s="793"/>
      <c r="C49" s="789"/>
      <c r="D49" s="294">
        <f>D6</f>
        <v>2019.9999999999995</v>
      </c>
      <c r="E49" s="522">
        <f>E6</f>
        <v>7.2020999999999997</v>
      </c>
    </row>
    <row r="50" spans="1:5" ht="13.5">
      <c r="A50" s="554">
        <v>1</v>
      </c>
      <c r="B50" s="550" t="s">
        <v>201</v>
      </c>
      <c r="C50" s="326" t="s">
        <v>329</v>
      </c>
      <c r="D50" s="327">
        <f>SUM(D51,D54)</f>
        <v>0</v>
      </c>
      <c r="E50" s="543">
        <f>SUM(E51,E54)</f>
        <v>0</v>
      </c>
    </row>
    <row r="51" spans="1:5" ht="13.5">
      <c r="A51" s="555">
        <v>2</v>
      </c>
      <c r="B51" s="551" t="s">
        <v>202</v>
      </c>
      <c r="C51" s="326" t="s">
        <v>329</v>
      </c>
      <c r="D51" s="309">
        <f>SUM(D52:D53)</f>
        <v>0</v>
      </c>
      <c r="E51" s="310">
        <f>SUM(E52:E53)</f>
        <v>0</v>
      </c>
    </row>
    <row r="52" spans="1:5">
      <c r="A52" s="554">
        <v>3</v>
      </c>
      <c r="B52" s="552" t="s">
        <v>185</v>
      </c>
      <c r="C52" s="326" t="s">
        <v>329</v>
      </c>
      <c r="D52" s="302"/>
      <c r="E52" s="544"/>
    </row>
    <row r="53" spans="1:5">
      <c r="A53" s="555">
        <v>4</v>
      </c>
      <c r="B53" s="552" t="s">
        <v>186</v>
      </c>
      <c r="C53" s="326" t="s">
        <v>329</v>
      </c>
      <c r="D53" s="302"/>
      <c r="E53" s="544"/>
    </row>
    <row r="54" spans="1:5" ht="13.5">
      <c r="A54" s="554">
        <v>5</v>
      </c>
      <c r="B54" s="551" t="s">
        <v>200</v>
      </c>
      <c r="C54" s="326" t="s">
        <v>329</v>
      </c>
      <c r="D54" s="309">
        <f>SUM(D55:D56)</f>
        <v>0</v>
      </c>
      <c r="E54" s="310">
        <f>SUM(E55:E56)</f>
        <v>0</v>
      </c>
    </row>
    <row r="55" spans="1:5">
      <c r="A55" s="555">
        <v>6</v>
      </c>
      <c r="B55" s="552" t="s">
        <v>185</v>
      </c>
      <c r="C55" s="326" t="s">
        <v>329</v>
      </c>
      <c r="D55" s="302"/>
      <c r="E55" s="544"/>
    </row>
    <row r="56" spans="1:5">
      <c r="A56" s="556">
        <v>7</v>
      </c>
      <c r="B56" s="553" t="s">
        <v>186</v>
      </c>
      <c r="C56" s="546" t="s">
        <v>329</v>
      </c>
      <c r="D56" s="547"/>
      <c r="E56" s="548"/>
    </row>
    <row r="57" spans="1:5" ht="13.5" thickBot="1">
      <c r="A57" s="557">
        <v>8</v>
      </c>
      <c r="B57" s="586" t="s">
        <v>709</v>
      </c>
      <c r="C57" s="545" t="s">
        <v>710</v>
      </c>
      <c r="D57" s="545">
        <f>'ТИП-ПРОИЗ'!E132</f>
        <v>0</v>
      </c>
      <c r="E57" s="549">
        <f>'ТИП-ПРОИЗ'!F132</f>
        <v>0</v>
      </c>
    </row>
    <row r="58" spans="1:5" ht="13.5" thickTop="1">
      <c r="A58" s="540"/>
      <c r="B58" s="541"/>
      <c r="C58" s="542"/>
      <c r="D58" s="542"/>
      <c r="E58" s="542"/>
    </row>
    <row r="59" spans="1:5" ht="13.5" thickBot="1"/>
    <row r="60" spans="1:5" ht="13.5" thickTop="1">
      <c r="A60" s="786" t="s">
        <v>40</v>
      </c>
      <c r="B60" s="558" t="s">
        <v>187</v>
      </c>
      <c r="C60" s="559" t="s">
        <v>3</v>
      </c>
      <c r="D60" s="560">
        <f>SUM('ТИП-ПРОИЗ'!E122,Разходи!E8)</f>
        <v>1202.0260000000001</v>
      </c>
      <c r="E60" s="561">
        <f>SUM('ТИП-ПРОИЗ'!F122,Разходи!H8)</f>
        <v>1136</v>
      </c>
    </row>
    <row r="61" spans="1:5" ht="13.5" thickBot="1">
      <c r="A61" s="787"/>
      <c r="B61" s="562" t="s">
        <v>188</v>
      </c>
      <c r="C61" s="563" t="s">
        <v>3</v>
      </c>
      <c r="D61" s="564">
        <f>ROUND(SUM(D7*D23,D30*D44)/1000,0)</f>
        <v>0</v>
      </c>
      <c r="E61" s="565">
        <f>ROUND(SUM(E7*E23,E30*E44)/1000,0)</f>
        <v>0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D66" s="332"/>
      <c r="E66" s="332"/>
    </row>
    <row r="67" spans="1:5">
      <c r="A67" s="330"/>
      <c r="B67" s="333" t="str">
        <f>Разходи!$B$93</f>
        <v>М.Тодорова</v>
      </c>
      <c r="D67" s="779" t="str">
        <f>Разходи!$F$93</f>
        <v>Т.Йорданов</v>
      </c>
      <c r="E67" s="779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C5:C6"/>
    <mergeCell ref="A48:A49"/>
    <mergeCell ref="B48:B49"/>
    <mergeCell ref="C48:C49"/>
    <mergeCell ref="B1:C1"/>
    <mergeCell ref="B2:C2"/>
    <mergeCell ref="B3:C3"/>
    <mergeCell ref="A5:A6"/>
    <mergeCell ref="B5:B6"/>
    <mergeCell ref="D67:E67"/>
    <mergeCell ref="B27:B28"/>
    <mergeCell ref="A27:A28"/>
    <mergeCell ref="C27:C28"/>
    <mergeCell ref="A60:A61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28" zoomScaleNormal="100" workbookViewId="0">
      <selection activeCell="F23" sqref="F23"/>
    </sheetView>
  </sheetViews>
  <sheetFormatPr defaultColWidth="0" defaultRowHeight="0" customHeight="1" zeroHeight="1"/>
  <cols>
    <col min="1" max="1" width="5.140625" style="619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0"/>
      <c r="B1" s="801">
        <v>6</v>
      </c>
      <c r="C1" s="801"/>
      <c r="D1" s="591"/>
      <c r="E1" s="591"/>
      <c r="F1" s="135" t="s">
        <v>684</v>
      </c>
    </row>
    <row r="2" spans="1:58" ht="14.25" customHeight="1">
      <c r="A2" s="591"/>
      <c r="B2" s="590"/>
      <c r="C2" s="591"/>
      <c r="D2" s="591"/>
      <c r="E2" s="591"/>
      <c r="F2" s="591"/>
    </row>
    <row r="3" spans="1:58" ht="14.25" customHeight="1">
      <c r="A3" s="592"/>
      <c r="B3" s="802" t="s">
        <v>189</v>
      </c>
      <c r="C3" s="802"/>
      <c r="D3" s="593"/>
      <c r="E3" s="593"/>
      <c r="F3" s="593"/>
    </row>
    <row r="4" spans="1:58" ht="14.25" customHeight="1">
      <c r="A4" s="594"/>
      <c r="B4" s="803" t="str">
        <f>'ТИП-ПРОИЗ'!$B$3:$C$3</f>
        <v>Инертстрой Калето АД</v>
      </c>
      <c r="C4" s="803"/>
      <c r="D4" s="594"/>
      <c r="E4" s="594"/>
      <c r="F4" s="594"/>
    </row>
    <row r="5" spans="1:58" ht="14.25" customHeight="1" thickBot="1">
      <c r="A5" s="595"/>
      <c r="B5" s="596"/>
      <c r="C5" s="596"/>
      <c r="D5" s="596"/>
      <c r="E5" s="596"/>
      <c r="F5" s="596"/>
    </row>
    <row r="6" spans="1:58" ht="14.25" customHeight="1" thickTop="1" thickBot="1">
      <c r="A6" s="805" t="s">
        <v>0</v>
      </c>
      <c r="B6" s="807" t="s">
        <v>160</v>
      </c>
      <c r="C6" s="807" t="s">
        <v>42</v>
      </c>
      <c r="D6" s="807" t="s">
        <v>14</v>
      </c>
      <c r="E6" s="292" t="s">
        <v>332</v>
      </c>
      <c r="F6" s="293" t="s">
        <v>333</v>
      </c>
    </row>
    <row r="7" spans="1:58" ht="13.5" thickTop="1">
      <c r="A7" s="806"/>
      <c r="B7" s="808"/>
      <c r="C7" s="808"/>
      <c r="D7" s="808"/>
      <c r="E7" s="80">
        <f>'ТИП-ПРОИЗ'!E6</f>
        <v>2019.9999999999995</v>
      </c>
      <c r="F7" s="655">
        <f>'ТИП-ПРОИЗ'!F6</f>
        <v>7.2020999999999997</v>
      </c>
    </row>
    <row r="8" spans="1:58" ht="13.5" customHeight="1">
      <c r="A8" s="597">
        <v>1</v>
      </c>
      <c r="B8" s="598">
        <v>2</v>
      </c>
      <c r="C8" s="598">
        <v>3</v>
      </c>
      <c r="D8" s="599">
        <v>4</v>
      </c>
      <c r="E8" s="598">
        <v>5</v>
      </c>
      <c r="F8" s="600">
        <v>6</v>
      </c>
      <c r="G8" s="601"/>
    </row>
    <row r="9" spans="1:58" ht="14.25" customHeight="1">
      <c r="A9" s="602">
        <v>1</v>
      </c>
      <c r="B9" s="603" t="s">
        <v>43</v>
      </c>
      <c r="C9" s="604" t="s">
        <v>44</v>
      </c>
      <c r="D9" s="579" t="s">
        <v>23</v>
      </c>
      <c r="E9" s="605"/>
      <c r="F9" s="606"/>
    </row>
    <row r="10" spans="1:58" ht="14.25" customHeight="1">
      <c r="A10" s="602">
        <v>2</v>
      </c>
      <c r="B10" s="603" t="s">
        <v>45</v>
      </c>
      <c r="C10" s="604" t="s">
        <v>212</v>
      </c>
      <c r="D10" s="579" t="s">
        <v>46</v>
      </c>
      <c r="E10" s="605"/>
      <c r="F10" s="606"/>
    </row>
    <row r="11" spans="1:58" ht="14.25" customHeight="1">
      <c r="A11" s="602">
        <v>3</v>
      </c>
      <c r="B11" s="603" t="s">
        <v>47</v>
      </c>
      <c r="C11" s="604" t="s">
        <v>48</v>
      </c>
      <c r="D11" s="579" t="s">
        <v>23</v>
      </c>
      <c r="E11" s="607">
        <f>ROUND(E9*1.05,0)</f>
        <v>0</v>
      </c>
      <c r="F11" s="608"/>
    </row>
    <row r="12" spans="1:58" ht="14.25" customHeight="1">
      <c r="A12" s="602">
        <v>4</v>
      </c>
      <c r="B12" s="603" t="s">
        <v>49</v>
      </c>
      <c r="C12" s="604" t="s">
        <v>50</v>
      </c>
      <c r="D12" s="579" t="s">
        <v>51</v>
      </c>
      <c r="E12" s="609"/>
      <c r="F12" s="606"/>
    </row>
    <row r="13" spans="1:58" ht="14.25" customHeight="1">
      <c r="A13" s="602">
        <v>5</v>
      </c>
      <c r="B13" s="603" t="s">
        <v>52</v>
      </c>
      <c r="C13" s="604" t="s">
        <v>53</v>
      </c>
      <c r="D13" s="579" t="s">
        <v>46</v>
      </c>
      <c r="E13" s="609"/>
      <c r="F13" s="606"/>
    </row>
    <row r="14" spans="1:58" ht="12.75" customHeight="1">
      <c r="A14" s="602">
        <v>6</v>
      </c>
      <c r="B14" s="603" t="s">
        <v>204</v>
      </c>
      <c r="C14" s="610" t="s">
        <v>219</v>
      </c>
      <c r="D14" s="579" t="s">
        <v>70</v>
      </c>
      <c r="E14" s="607">
        <f>IF(E9=0,0,(E9*E10-E11*E13)/3600)</f>
        <v>0</v>
      </c>
      <c r="F14" s="608">
        <f>IF(F9=0,0,(F9*F10-F11*F13)/3600)</f>
        <v>0</v>
      </c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611"/>
      <c r="AL14" s="611"/>
      <c r="AM14" s="611"/>
      <c r="AN14" s="611"/>
      <c r="AO14" s="611"/>
      <c r="AP14" s="611"/>
      <c r="AQ14" s="611"/>
      <c r="AR14" s="611"/>
      <c r="AS14" s="611"/>
      <c r="AT14" s="611"/>
      <c r="AU14" s="611"/>
      <c r="AV14" s="611"/>
      <c r="AW14" s="611"/>
      <c r="AX14" s="611"/>
      <c r="AY14" s="611"/>
      <c r="AZ14" s="611"/>
      <c r="BA14" s="611"/>
      <c r="BB14" s="611"/>
      <c r="BC14" s="611"/>
      <c r="BD14" s="611"/>
      <c r="BE14" s="611"/>
      <c r="BF14" s="611"/>
    </row>
    <row r="15" spans="1:58" ht="12.75" customHeight="1">
      <c r="A15" s="602">
        <v>7</v>
      </c>
      <c r="B15" s="603" t="s">
        <v>412</v>
      </c>
      <c r="C15" s="60" t="s">
        <v>413</v>
      </c>
      <c r="D15" s="579" t="s">
        <v>7</v>
      </c>
      <c r="E15" s="612">
        <f>IF(E9=0,0,IF('ТИП-ПРОИЗ'!E32=0,0,E14/'ТИП-ПРОИЗ'!E32))</f>
        <v>0</v>
      </c>
      <c r="F15" s="613">
        <f>IF(F9=0,0,IF('ТИП-ПРОИЗ'!F32=0,0,F14/'ТИП-ПРОИЗ'!F32))</f>
        <v>0</v>
      </c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</row>
    <row r="16" spans="1:58" ht="12.75" customHeight="1">
      <c r="A16" s="602">
        <v>8</v>
      </c>
      <c r="B16" s="614" t="s">
        <v>36</v>
      </c>
      <c r="C16" s="60" t="s">
        <v>724</v>
      </c>
      <c r="D16" s="579" t="s">
        <v>86</v>
      </c>
      <c r="E16" s="615"/>
      <c r="F16" s="616"/>
    </row>
    <row r="17" spans="1:7" ht="14.25">
      <c r="A17" s="602">
        <v>9</v>
      </c>
      <c r="B17" s="642" t="s">
        <v>725</v>
      </c>
      <c r="C17" s="643" t="s">
        <v>746</v>
      </c>
      <c r="D17" s="579" t="s">
        <v>7</v>
      </c>
      <c r="E17" s="617">
        <v>0.9</v>
      </c>
      <c r="F17" s="618">
        <v>0.9</v>
      </c>
    </row>
    <row r="18" spans="1:7" ht="14.25">
      <c r="A18" s="602">
        <v>10</v>
      </c>
      <c r="B18" s="642" t="s">
        <v>726</v>
      </c>
      <c r="C18" s="643" t="s">
        <v>747</v>
      </c>
      <c r="D18" s="579" t="s">
        <v>7</v>
      </c>
      <c r="E18" s="617">
        <v>0.497</v>
      </c>
      <c r="F18" s="618">
        <v>0.497</v>
      </c>
    </row>
    <row r="19" spans="1:7" ht="14.25">
      <c r="A19" s="602">
        <v>11</v>
      </c>
      <c r="B19" s="642" t="s">
        <v>388</v>
      </c>
      <c r="C19" s="644" t="s">
        <v>732</v>
      </c>
      <c r="D19" s="579" t="s">
        <v>7</v>
      </c>
      <c r="E19" s="587">
        <f>SUM(E20:E21)</f>
        <v>0.78322258601202766</v>
      </c>
      <c r="F19" s="589">
        <f>SUM(F20:F21)</f>
        <v>0.77804845504888565</v>
      </c>
    </row>
    <row r="20" spans="1:7" ht="14.25">
      <c r="A20" s="602">
        <v>12</v>
      </c>
      <c r="B20" s="642" t="s">
        <v>243</v>
      </c>
      <c r="C20" s="643" t="s">
        <v>748</v>
      </c>
      <c r="D20" s="579" t="s">
        <v>7</v>
      </c>
      <c r="E20" s="620">
        <f>IF('ТИП-ПРОИЗ'!E32=0,0,SUM('ТИП-ПРОИЗ'!E8,-'ТИП-ПРОИЗ'!E45)/'ТИП-ПРОИЗ'!E32)</f>
        <v>0.38869334016905072</v>
      </c>
      <c r="F20" s="588">
        <f>IF('ТИП-ПРОИЗ'!F32=0,0,SUM('ТИП-ПРОИЗ'!F8,-'ТИП-ПРОИЗ'!F45)/'ТИП-ПРОИЗ'!F32)</f>
        <v>0.37632041726024351</v>
      </c>
    </row>
    <row r="21" spans="1:7" ht="17.25" customHeight="1">
      <c r="A21" s="602">
        <v>13</v>
      </c>
      <c r="B21" s="642" t="s">
        <v>242</v>
      </c>
      <c r="C21" s="643" t="s">
        <v>749</v>
      </c>
      <c r="D21" s="579" t="s">
        <v>7</v>
      </c>
      <c r="E21" s="620">
        <f>IF('ТИП-ПРОИЗ'!E32=0,0,'ТИП-ПРОИЗ'!E27/'ТИП-ПРОИЗ'!E32)</f>
        <v>0.39452924584297699</v>
      </c>
      <c r="F21" s="588">
        <f>IF('ТИП-ПРОИЗ'!F32=0,0,'ТИП-ПРОИЗ'!F27/'ТИП-ПРОИЗ'!F32)</f>
        <v>0.40172803778864213</v>
      </c>
    </row>
    <row r="22" spans="1:7" ht="20.25" customHeight="1">
      <c r="A22" s="602">
        <v>21</v>
      </c>
      <c r="B22" s="660" t="s">
        <v>755</v>
      </c>
      <c r="C22" s="667" t="s">
        <v>760</v>
      </c>
      <c r="D22" s="625" t="s">
        <v>7</v>
      </c>
      <c r="E22" s="661">
        <v>0.4914</v>
      </c>
      <c r="F22" s="662">
        <v>0.4914</v>
      </c>
    </row>
    <row r="23" spans="1:7" ht="12.75">
      <c r="A23" s="602">
        <v>22</v>
      </c>
      <c r="B23" s="658" t="s">
        <v>756</v>
      </c>
      <c r="C23" s="663"/>
      <c r="D23" s="664"/>
      <c r="E23" s="621">
        <f>E22*'ТИП-ПРОИЗ'!E32</f>
        <v>8925.5040966000015</v>
      </c>
      <c r="F23" s="622">
        <f>F22*'ТИП-ПРОИЗ'!F32</f>
        <v>24601.312008000001</v>
      </c>
    </row>
    <row r="24" spans="1:7" ht="15.75">
      <c r="A24" s="602">
        <v>23</v>
      </c>
      <c r="B24" s="659" t="s">
        <v>757</v>
      </c>
      <c r="C24" s="665"/>
      <c r="D24" s="625"/>
      <c r="E24" s="91">
        <f>IF(SUM('ТИП-ПРОИЗ'!E32,'ТИП-ПРОИЗ'!E49)=0,0,E23/'ТИП-ПРОИЗ'!E69)</f>
        <v>0.4914000106959171</v>
      </c>
      <c r="F24" s="501">
        <f>IF(SUM('ТИП-ПРОИЗ'!F32,'ТИП-ПРОИЗ'!F49)=0,0,F23/'ТИП-ПРОИЗ'!F69)</f>
        <v>0.49140000228267233</v>
      </c>
    </row>
    <row r="25" spans="1:7" ht="12.75">
      <c r="A25" s="602">
        <v>24</v>
      </c>
      <c r="B25" s="660" t="s">
        <v>390</v>
      </c>
      <c r="C25" s="665"/>
      <c r="D25" s="665"/>
      <c r="E25" s="81">
        <f>'ТИП-ПРОИЗ'!E27*'ТИП-ПРОИЗ'!E42/1000</f>
        <v>1096.54132</v>
      </c>
      <c r="F25" s="502">
        <f>'ТИП-ПРОИЗ'!F27*'ТИП-ПРОИЗ'!F42/1000</f>
        <v>3022.43136</v>
      </c>
      <c r="G25" s="89"/>
    </row>
    <row r="26" spans="1:7" ht="12.75">
      <c r="A26" s="602">
        <v>25</v>
      </c>
      <c r="B26" s="660" t="s">
        <v>389</v>
      </c>
      <c r="C26" s="665"/>
      <c r="D26" s="665"/>
      <c r="E26" s="87">
        <f>SUM('ТИП-ПРОИЗ'!E68,-E25)</f>
        <v>1134.9643942857144</v>
      </c>
      <c r="F26" s="503">
        <f>SUM('ТИП-ПРОИЗ'!F68,-F25)</f>
        <v>3128.2542114285711</v>
      </c>
      <c r="G26" s="89"/>
    </row>
    <row r="27" spans="1:7" ht="15.75">
      <c r="A27" s="602">
        <v>26</v>
      </c>
      <c r="B27" s="666" t="s">
        <v>758</v>
      </c>
      <c r="C27" s="668" t="s">
        <v>759</v>
      </c>
      <c r="D27" s="625" t="s">
        <v>7</v>
      </c>
      <c r="E27" s="504">
        <f>IF(SUM('ТИП-ПРОИЗ'!E8,'ТИП-ПРОИЗ'!E27)=0,0,'ТИП-ПРОИЗ'!E27/SUM('ТИП-ПРОИЗ'!E8,'ТИП-ПРОИЗ'!E27))</f>
        <v>0.50301839112733404</v>
      </c>
      <c r="F27" s="505">
        <f>IF(SUM('ТИП-ПРОИЗ'!F8,'ТИП-ПРОИЗ'!F27)=0,0,'ТИП-ПРОИЗ'!F27/SUM('ТИП-ПРОИЗ'!F8,'ТИП-ПРОИЗ'!F27))</f>
        <v>0.51593042942896716</v>
      </c>
      <c r="G27" s="89"/>
    </row>
    <row r="28" spans="1:7" s="626" customFormat="1" ht="14.25" customHeight="1">
      <c r="A28" s="602">
        <v>27</v>
      </c>
      <c r="B28" s="623" t="s">
        <v>677</v>
      </c>
      <c r="C28" s="624" t="s">
        <v>81</v>
      </c>
      <c r="D28" s="625" t="s">
        <v>23</v>
      </c>
      <c r="E28" s="609"/>
      <c r="F28" s="606"/>
    </row>
    <row r="29" spans="1:7" s="626" customFormat="1" ht="14.25" customHeight="1">
      <c r="A29" s="602">
        <v>28</v>
      </c>
      <c r="B29" s="623" t="s">
        <v>678</v>
      </c>
      <c r="C29" s="624" t="s">
        <v>213</v>
      </c>
      <c r="D29" s="625" t="s">
        <v>46</v>
      </c>
      <c r="E29" s="609"/>
      <c r="F29" s="606"/>
    </row>
    <row r="30" spans="1:7" s="626" customFormat="1" ht="14.25" customHeight="1">
      <c r="A30" s="602">
        <v>29</v>
      </c>
      <c r="B30" s="623" t="s">
        <v>205</v>
      </c>
      <c r="C30" s="624" t="s">
        <v>81</v>
      </c>
      <c r="D30" s="625" t="s">
        <v>23</v>
      </c>
      <c r="E30" s="609"/>
      <c r="F30" s="606"/>
    </row>
    <row r="31" spans="1:7" s="626" customFormat="1" ht="14.25" customHeight="1">
      <c r="A31" s="602">
        <v>30</v>
      </c>
      <c r="B31" s="623" t="s">
        <v>206</v>
      </c>
      <c r="C31" s="624" t="s">
        <v>213</v>
      </c>
      <c r="D31" s="625" t="s">
        <v>46</v>
      </c>
      <c r="E31" s="609"/>
      <c r="F31" s="606"/>
    </row>
    <row r="32" spans="1:7" s="626" customFormat="1" ht="14.25" customHeight="1">
      <c r="A32" s="602">
        <v>31</v>
      </c>
      <c r="B32" s="627" t="s">
        <v>54</v>
      </c>
      <c r="C32" s="624" t="s">
        <v>55</v>
      </c>
      <c r="D32" s="625" t="s">
        <v>23</v>
      </c>
      <c r="E32" s="628">
        <f>SUM(E9,-E28)</f>
        <v>0</v>
      </c>
      <c r="F32" s="608">
        <f>SUM(F9,-F28)</f>
        <v>0</v>
      </c>
    </row>
    <row r="33" spans="1:6" s="626" customFormat="1" ht="14.25" customHeight="1">
      <c r="A33" s="602">
        <v>32</v>
      </c>
      <c r="B33" s="629" t="s">
        <v>56</v>
      </c>
      <c r="C33" s="624" t="s">
        <v>214</v>
      </c>
      <c r="D33" s="625" t="s">
        <v>46</v>
      </c>
      <c r="E33" s="609"/>
      <c r="F33" s="606"/>
    </row>
    <row r="34" spans="1:6" ht="12.75" customHeight="1">
      <c r="A34" s="602">
        <v>33</v>
      </c>
      <c r="B34" s="629" t="s">
        <v>78</v>
      </c>
      <c r="C34" s="604"/>
      <c r="D34" s="579" t="s">
        <v>70</v>
      </c>
      <c r="E34" s="628">
        <f>SUM(E35:E36)</f>
        <v>0</v>
      </c>
      <c r="F34" s="608">
        <f>SUM(F35:F36)</f>
        <v>0</v>
      </c>
    </row>
    <row r="35" spans="1:6" ht="12.75" customHeight="1">
      <c r="A35" s="602" t="s">
        <v>730</v>
      </c>
      <c r="B35" s="630" t="s">
        <v>207</v>
      </c>
      <c r="C35" s="604"/>
      <c r="D35" s="579" t="s">
        <v>70</v>
      </c>
      <c r="E35" s="609"/>
      <c r="F35" s="606"/>
    </row>
    <row r="36" spans="1:6" ht="12.75" customHeight="1">
      <c r="A36" s="602" t="s">
        <v>731</v>
      </c>
      <c r="B36" s="630" t="s">
        <v>208</v>
      </c>
      <c r="C36" s="604"/>
      <c r="D36" s="579" t="s">
        <v>70</v>
      </c>
      <c r="E36" s="609"/>
      <c r="F36" s="606"/>
    </row>
    <row r="37" spans="1:6" ht="14.25" customHeight="1">
      <c r="A37" s="602">
        <v>34</v>
      </c>
      <c r="B37" s="629" t="s">
        <v>57</v>
      </c>
      <c r="C37" s="604" t="s">
        <v>58</v>
      </c>
      <c r="D37" s="579" t="s">
        <v>23</v>
      </c>
      <c r="E37" s="609"/>
      <c r="F37" s="606"/>
    </row>
    <row r="38" spans="1:6" ht="14.25" customHeight="1">
      <c r="A38" s="602">
        <v>35</v>
      </c>
      <c r="B38" s="629" t="s">
        <v>59</v>
      </c>
      <c r="C38" s="604" t="s">
        <v>215</v>
      </c>
      <c r="D38" s="579" t="s">
        <v>46</v>
      </c>
      <c r="E38" s="609"/>
      <c r="F38" s="606"/>
    </row>
    <row r="39" spans="1:6" ht="14.25" customHeight="1">
      <c r="A39" s="602">
        <v>36</v>
      </c>
      <c r="B39" s="629" t="s">
        <v>718</v>
      </c>
      <c r="C39" s="604" t="s">
        <v>717</v>
      </c>
      <c r="D39" s="579"/>
      <c r="E39" s="631">
        <f>IF(E37=0,0,'ТИП-ПРОИЗ'!E47/Коефициенти!E37*3600)</f>
        <v>0</v>
      </c>
      <c r="F39" s="632">
        <f>IF(F37=0,0,'ТИП-ПРОИЗ'!F47/Коефициенти!F37*3600)</f>
        <v>0</v>
      </c>
    </row>
    <row r="40" spans="1:6" ht="14.25" customHeight="1">
      <c r="A40" s="602">
        <v>37</v>
      </c>
      <c r="B40" s="629" t="s">
        <v>715</v>
      </c>
      <c r="C40" s="604" t="s">
        <v>50</v>
      </c>
      <c r="D40" s="579" t="s">
        <v>716</v>
      </c>
      <c r="E40" s="631">
        <f>SUM(E38,-E39)/3600*860</f>
        <v>0</v>
      </c>
      <c r="F40" s="632">
        <f>SUM(F38,-F39)/3600*860</f>
        <v>0</v>
      </c>
    </row>
    <row r="41" spans="1:6" ht="14.25" customHeight="1">
      <c r="A41" s="602">
        <v>38</v>
      </c>
      <c r="B41" s="627" t="s">
        <v>60</v>
      </c>
      <c r="C41" s="610" t="s">
        <v>61</v>
      </c>
      <c r="D41" s="579" t="s">
        <v>23</v>
      </c>
      <c r="E41" s="609"/>
      <c r="F41" s="606"/>
    </row>
    <row r="42" spans="1:6" ht="14.25" customHeight="1">
      <c r="A42" s="602">
        <v>39</v>
      </c>
      <c r="B42" s="633" t="s">
        <v>62</v>
      </c>
      <c r="C42" s="604" t="s">
        <v>216</v>
      </c>
      <c r="D42" s="579" t="s">
        <v>46</v>
      </c>
      <c r="E42" s="609"/>
      <c r="F42" s="606"/>
    </row>
    <row r="43" spans="1:6" ht="14.25" customHeight="1">
      <c r="A43" s="602">
        <v>40</v>
      </c>
      <c r="B43" s="627" t="s">
        <v>82</v>
      </c>
      <c r="C43" s="610" t="s">
        <v>63</v>
      </c>
      <c r="D43" s="625" t="s">
        <v>23</v>
      </c>
      <c r="E43" s="605"/>
      <c r="F43" s="606"/>
    </row>
    <row r="44" spans="1:6" ht="14.25" customHeight="1">
      <c r="A44" s="602">
        <v>41</v>
      </c>
      <c r="B44" s="627" t="s">
        <v>64</v>
      </c>
      <c r="C44" s="610" t="s">
        <v>217</v>
      </c>
      <c r="D44" s="579" t="s">
        <v>46</v>
      </c>
      <c r="E44" s="605"/>
      <c r="F44" s="606"/>
    </row>
    <row r="45" spans="1:6" ht="14.25" customHeight="1">
      <c r="A45" s="602">
        <v>42</v>
      </c>
      <c r="B45" s="629" t="s">
        <v>65</v>
      </c>
      <c r="C45" s="604" t="s">
        <v>66</v>
      </c>
      <c r="D45" s="579" t="s">
        <v>414</v>
      </c>
      <c r="E45" s="605"/>
      <c r="F45" s="606"/>
    </row>
    <row r="46" spans="1:6" ht="14.25" customHeight="1">
      <c r="A46" s="602">
        <v>43</v>
      </c>
      <c r="B46" s="629" t="s">
        <v>67</v>
      </c>
      <c r="C46" s="604" t="s">
        <v>66</v>
      </c>
      <c r="D46" s="579" t="s">
        <v>414</v>
      </c>
      <c r="E46" s="605"/>
      <c r="F46" s="606"/>
    </row>
    <row r="47" spans="1:6" ht="14.25" customHeight="1">
      <c r="A47" s="602">
        <v>44</v>
      </c>
      <c r="B47" s="627" t="s">
        <v>68</v>
      </c>
      <c r="C47" s="604" t="s">
        <v>69</v>
      </c>
      <c r="D47" s="579" t="s">
        <v>70</v>
      </c>
      <c r="E47" s="605"/>
      <c r="F47" s="606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4"/>
      <c r="D52" s="635" t="str">
        <f>Разходи!$E$91</f>
        <v>Изп. директор:</v>
      </c>
      <c r="E52" s="636"/>
      <c r="F52" s="636"/>
      <c r="G52" s="637"/>
    </row>
    <row r="53" spans="1:7" ht="12.75">
      <c r="A53" s="1"/>
      <c r="B53" s="638" t="str">
        <f>Разходи!$B$93</f>
        <v>М.Тодорова</v>
      </c>
      <c r="D53" s="637"/>
      <c r="E53" s="804" t="str">
        <f>Разходи!$F$93</f>
        <v>Т.Йорданов</v>
      </c>
      <c r="F53" s="804"/>
      <c r="G53" s="804"/>
    </row>
    <row r="54" spans="1:7" ht="14.25" customHeight="1">
      <c r="B54" s="626"/>
      <c r="C54" s="626"/>
      <c r="D54" s="626"/>
      <c r="E54" s="639"/>
      <c r="F54" s="639"/>
    </row>
    <row r="55" spans="1:7" ht="14.25" customHeight="1">
      <c r="B55" s="626"/>
      <c r="C55" s="626"/>
      <c r="D55" s="626"/>
      <c r="E55" s="640"/>
      <c r="F55" s="640"/>
    </row>
    <row r="56" spans="1:7" ht="14.25" customHeight="1">
      <c r="E56" s="641"/>
      <c r="F56" s="641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22" zoomScaleNormal="100" workbookViewId="0">
      <selection activeCell="G11" sqref="G11"/>
    </sheetView>
  </sheetViews>
  <sheetFormatPr defaultColWidth="0" defaultRowHeight="12.75" zeroHeight="1"/>
  <cols>
    <col min="1" max="1" width="3.5703125" style="134" customWidth="1"/>
    <col min="2" max="2" width="27.5703125" style="134" customWidth="1"/>
    <col min="3" max="3" width="8.5703125" style="134" customWidth="1"/>
    <col min="4" max="4" width="9.5703125" style="134" customWidth="1"/>
    <col min="5" max="12" width="8.5703125" style="134" customWidth="1"/>
    <col min="13" max="18" width="0" style="134" hidden="1" customWidth="1"/>
    <col min="19" max="19" width="10.5703125" style="134" hidden="1" customWidth="1"/>
    <col min="20" max="16384" width="0" style="134" hidden="1"/>
  </cols>
  <sheetData>
    <row r="1" spans="1:12" ht="12.75" customHeight="1">
      <c r="A1" s="154">
        <v>1</v>
      </c>
      <c r="B1" s="824" t="s">
        <v>601</v>
      </c>
      <c r="C1" s="824"/>
      <c r="D1" s="824"/>
      <c r="E1" s="824"/>
      <c r="F1" s="824"/>
      <c r="G1" s="824"/>
      <c r="H1" s="824"/>
      <c r="I1" s="824"/>
      <c r="J1" s="509"/>
      <c r="K1" s="135" t="s">
        <v>697</v>
      </c>
    </row>
    <row r="2" spans="1:12" ht="12.75" customHeight="1">
      <c r="B2" s="824" t="str">
        <f>'ТИП-ПРОИЗ'!$B$3</f>
        <v>Инертстрой Калето АД</v>
      </c>
      <c r="C2" s="824"/>
      <c r="D2" s="824"/>
      <c r="E2" s="824"/>
      <c r="F2" s="824"/>
      <c r="G2" s="824"/>
      <c r="H2" s="824"/>
      <c r="I2" s="824"/>
      <c r="J2" s="509"/>
      <c r="K2" s="509"/>
    </row>
    <row r="3" spans="1:12"/>
    <row r="4" spans="1:12">
      <c r="A4" s="155" t="s">
        <v>0</v>
      </c>
      <c r="B4" s="156" t="s">
        <v>387</v>
      </c>
      <c r="C4" s="155" t="s">
        <v>380</v>
      </c>
      <c r="D4" s="822">
        <f>IF(D6=0,0,(D6/D8-D7)*860/D6)</f>
        <v>1174.6008607303706</v>
      </c>
      <c r="E4" s="822"/>
      <c r="F4" s="822"/>
      <c r="G4" s="822"/>
      <c r="H4" s="822"/>
      <c r="I4" s="822"/>
      <c r="J4" s="822"/>
      <c r="K4" s="822"/>
    </row>
    <row r="5" spans="1:12">
      <c r="A5" s="146">
        <v>1</v>
      </c>
      <c r="B5" s="146" t="s">
        <v>461</v>
      </c>
      <c r="C5" s="109"/>
      <c r="D5" s="109" t="s">
        <v>152</v>
      </c>
      <c r="E5" s="109" t="s">
        <v>234</v>
      </c>
      <c r="F5" s="109" t="s">
        <v>235</v>
      </c>
      <c r="G5" s="109" t="s">
        <v>236</v>
      </c>
      <c r="H5" s="109" t="s">
        <v>237</v>
      </c>
      <c r="I5" s="109" t="s">
        <v>238</v>
      </c>
      <c r="J5" s="109" t="s">
        <v>239</v>
      </c>
      <c r="K5" s="109" t="s">
        <v>444</v>
      </c>
    </row>
    <row r="6" spans="1:12">
      <c r="A6" s="109" t="s">
        <v>256</v>
      </c>
      <c r="B6" s="157" t="s">
        <v>663</v>
      </c>
      <c r="C6" s="109" t="s">
        <v>241</v>
      </c>
      <c r="D6" s="158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09" t="s">
        <v>257</v>
      </c>
      <c r="B7" s="157" t="s">
        <v>163</v>
      </c>
      <c r="C7" s="109" t="s">
        <v>240</v>
      </c>
      <c r="D7" s="158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09" t="s">
        <v>258</v>
      </c>
      <c r="B8" s="157" t="s">
        <v>242</v>
      </c>
      <c r="C8" s="109" t="s">
        <v>7</v>
      </c>
      <c r="D8" s="159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09" t="s">
        <v>259</v>
      </c>
      <c r="B9" s="157" t="s">
        <v>243</v>
      </c>
      <c r="C9" s="109" t="s">
        <v>7</v>
      </c>
      <c r="D9" s="159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09" t="s">
        <v>260</v>
      </c>
      <c r="B10" s="157" t="s">
        <v>388</v>
      </c>
      <c r="C10" s="109" t="s">
        <v>7</v>
      </c>
      <c r="D10" s="160">
        <f>SUM(D8:D9)</f>
        <v>0.8620000000000001</v>
      </c>
      <c r="E10" s="160">
        <f t="shared" ref="E10:J10" si="0">SUM(E8:E9)</f>
        <v>0.86199999999999999</v>
      </c>
      <c r="F10" s="160">
        <f t="shared" si="0"/>
        <v>0</v>
      </c>
      <c r="G10" s="160">
        <f t="shared" si="0"/>
        <v>0</v>
      </c>
      <c r="H10" s="160">
        <f t="shared" si="0"/>
        <v>0</v>
      </c>
      <c r="I10" s="160">
        <f t="shared" si="0"/>
        <v>0</v>
      </c>
      <c r="J10" s="160">
        <f t="shared" si="0"/>
        <v>0</v>
      </c>
      <c r="K10" s="160">
        <f>SUM(K8:K9)</f>
        <v>0</v>
      </c>
    </row>
    <row r="11" spans="1:12"/>
    <row r="12" spans="1:12">
      <c r="B12" s="823" t="s">
        <v>460</v>
      </c>
      <c r="C12" s="823"/>
      <c r="D12" s="823"/>
      <c r="E12" s="823"/>
      <c r="F12" s="823"/>
      <c r="G12" s="823"/>
      <c r="H12" s="823"/>
      <c r="I12" s="823"/>
      <c r="J12" s="823"/>
      <c r="K12" s="823"/>
    </row>
    <row r="13" spans="1:12"/>
    <row r="14" spans="1:12">
      <c r="A14" s="155" t="s">
        <v>0</v>
      </c>
      <c r="B14" s="146" t="s">
        <v>461</v>
      </c>
      <c r="C14" s="155" t="s">
        <v>380</v>
      </c>
      <c r="D14" s="813">
        <f>IF(D16=0,0,IF(D29=0,SUM(D16/D17,D26,D37/D39,-D22,-D42,-D43)*860/SUM(D16,D41),SUM(D16/D17,D26,-D30,-D31)*860/SUM(D16,D29)))</f>
        <v>0</v>
      </c>
      <c r="E14" s="814"/>
      <c r="F14" s="814"/>
      <c r="G14" s="814"/>
      <c r="H14" s="815"/>
      <c r="I14" s="810">
        <f>IF(I16=0,0,SUM(I16/I17,I26,-I19)*860/I16)</f>
        <v>0</v>
      </c>
      <c r="J14" s="811"/>
      <c r="K14" s="812"/>
    </row>
    <row r="15" spans="1:12">
      <c r="A15" s="146">
        <v>2</v>
      </c>
      <c r="B15" s="472" t="s">
        <v>459</v>
      </c>
      <c r="C15" s="109"/>
      <c r="D15" s="413" t="s">
        <v>152</v>
      </c>
      <c r="E15" s="109" t="s">
        <v>269</v>
      </c>
      <c r="F15" s="109"/>
      <c r="G15" s="109"/>
      <c r="H15" s="109"/>
      <c r="I15" s="473" t="s">
        <v>152</v>
      </c>
      <c r="J15" s="109" t="s">
        <v>269</v>
      </c>
      <c r="K15" s="109" t="s">
        <v>270</v>
      </c>
      <c r="L15" s="68"/>
    </row>
    <row r="16" spans="1:12">
      <c r="A16" s="109" t="s">
        <v>272</v>
      </c>
      <c r="B16" s="157" t="s">
        <v>664</v>
      </c>
      <c r="C16" s="109" t="s">
        <v>241</v>
      </c>
      <c r="D16" s="474">
        <f>SUM(E16:H16)</f>
        <v>0</v>
      </c>
      <c r="E16" s="475"/>
      <c r="F16" s="475"/>
      <c r="G16" s="475"/>
      <c r="H16" s="475"/>
      <c r="I16" s="474">
        <f>SUM(J16:K16)</f>
        <v>0</v>
      </c>
      <c r="J16" s="475"/>
      <c r="K16" s="475"/>
      <c r="L16" s="68"/>
    </row>
    <row r="17" spans="1:12">
      <c r="A17" s="109" t="s">
        <v>273</v>
      </c>
      <c r="B17" s="157" t="s">
        <v>271</v>
      </c>
      <c r="C17" s="109" t="s">
        <v>7</v>
      </c>
      <c r="D17" s="159">
        <f>IF(D16=0,0,SUMPRODUCT(E16:H16,E17:H17)/D16)</f>
        <v>0</v>
      </c>
      <c r="E17" s="67"/>
      <c r="F17" s="67"/>
      <c r="G17" s="67"/>
      <c r="H17" s="67"/>
      <c r="I17" s="159">
        <f>IF(I16=0,0,SUMPRODUCT(J16:K16,J17:K17)/I16)</f>
        <v>0</v>
      </c>
      <c r="J17" s="67"/>
      <c r="K17" s="67"/>
      <c r="L17" s="68"/>
    </row>
    <row r="18" spans="1:12">
      <c r="A18" s="146">
        <v>3</v>
      </c>
      <c r="B18" s="157" t="s">
        <v>653</v>
      </c>
      <c r="C18" s="109"/>
      <c r="D18" s="159"/>
      <c r="E18" s="476" t="s">
        <v>651</v>
      </c>
      <c r="F18" s="476"/>
      <c r="G18" s="476"/>
      <c r="H18" s="476"/>
      <c r="I18" s="159"/>
      <c r="J18" s="476" t="s">
        <v>651</v>
      </c>
      <c r="K18" s="476" t="s">
        <v>652</v>
      </c>
      <c r="L18" s="68"/>
    </row>
    <row r="19" spans="1:12">
      <c r="A19" s="109" t="s">
        <v>261</v>
      </c>
      <c r="B19" s="157" t="s">
        <v>442</v>
      </c>
      <c r="C19" s="109" t="s">
        <v>240</v>
      </c>
      <c r="D19" s="474">
        <f>SUM(E19:H19)</f>
        <v>0</v>
      </c>
      <c r="E19" s="477">
        <f>SUM(E20:E22)</f>
        <v>0</v>
      </c>
      <c r="F19" s="477">
        <f>SUM(F20:F22)</f>
        <v>0</v>
      </c>
      <c r="G19" s="477">
        <f>SUM(G20:G22)</f>
        <v>0</v>
      </c>
      <c r="H19" s="477">
        <f>SUM(H20:H22)</f>
        <v>0</v>
      </c>
      <c r="I19" s="474">
        <f>SUM(J19:K19)</f>
        <v>0</v>
      </c>
      <c r="J19" s="477">
        <f>SUM(J20:J22)</f>
        <v>0</v>
      </c>
      <c r="K19" s="477">
        <f>SUM(K20:K22)</f>
        <v>0</v>
      </c>
      <c r="L19" s="68"/>
    </row>
    <row r="20" spans="1:12">
      <c r="A20" s="109" t="s">
        <v>262</v>
      </c>
      <c r="B20" s="157" t="s">
        <v>446</v>
      </c>
      <c r="C20" s="109" t="s">
        <v>240</v>
      </c>
      <c r="D20" s="474">
        <f>SUM(E20:H20)</f>
        <v>0</v>
      </c>
      <c r="E20" s="475"/>
      <c r="F20" s="475"/>
      <c r="G20" s="475"/>
      <c r="H20" s="475"/>
      <c r="I20" s="474">
        <f>SUM(J20:K20)</f>
        <v>0</v>
      </c>
      <c r="J20" s="475"/>
      <c r="K20" s="475"/>
      <c r="L20" s="68"/>
    </row>
    <row r="21" spans="1:12">
      <c r="A21" s="109" t="s">
        <v>551</v>
      </c>
      <c r="B21" s="157" t="s">
        <v>445</v>
      </c>
      <c r="C21" s="109" t="s">
        <v>240</v>
      </c>
      <c r="D21" s="474">
        <f>SUM(E21:H21)</f>
        <v>0</v>
      </c>
      <c r="E21" s="475"/>
      <c r="F21" s="475"/>
      <c r="G21" s="475"/>
      <c r="H21" s="475"/>
      <c r="I21" s="474">
        <f>SUM(J21:K21)</f>
        <v>0</v>
      </c>
      <c r="J21" s="475"/>
      <c r="K21" s="475"/>
      <c r="L21" s="68"/>
    </row>
    <row r="22" spans="1:12">
      <c r="A22" s="109" t="s">
        <v>599</v>
      </c>
      <c r="B22" s="157" t="s">
        <v>447</v>
      </c>
      <c r="C22" s="109" t="s">
        <v>240</v>
      </c>
      <c r="D22" s="474">
        <f>SUM(E22:H22)</f>
        <v>0</v>
      </c>
      <c r="E22" s="475"/>
      <c r="F22" s="475"/>
      <c r="G22" s="475"/>
      <c r="H22" s="475"/>
      <c r="I22" s="474">
        <f>SUM(J22:K22)</f>
        <v>0</v>
      </c>
      <c r="J22" s="475"/>
      <c r="K22" s="475"/>
      <c r="L22" s="68"/>
    </row>
    <row r="23" spans="1:12">
      <c r="A23" s="109" t="s">
        <v>552</v>
      </c>
      <c r="B23" s="157" t="s">
        <v>443</v>
      </c>
      <c r="C23" s="109" t="s">
        <v>7</v>
      </c>
      <c r="D23" s="159">
        <f t="shared" ref="D23:K23" si="1">IF(D17=0,0,IF((D16/D17)=0,0,SUM(D21:D22)/(D16/D17)))</f>
        <v>0</v>
      </c>
      <c r="E23" s="159">
        <f t="shared" si="1"/>
        <v>0</v>
      </c>
      <c r="F23" s="159">
        <f t="shared" si="1"/>
        <v>0</v>
      </c>
      <c r="G23" s="159">
        <f t="shared" si="1"/>
        <v>0</v>
      </c>
      <c r="H23" s="159">
        <f t="shared" si="1"/>
        <v>0</v>
      </c>
      <c r="I23" s="159">
        <f t="shared" si="1"/>
        <v>0</v>
      </c>
      <c r="J23" s="159">
        <f t="shared" si="1"/>
        <v>0</v>
      </c>
      <c r="K23" s="159">
        <f t="shared" si="1"/>
        <v>0</v>
      </c>
      <c r="L23" s="68"/>
    </row>
    <row r="24" spans="1:12">
      <c r="A24" s="109" t="s">
        <v>553</v>
      </c>
      <c r="B24" s="157" t="s">
        <v>316</v>
      </c>
      <c r="C24" s="109" t="s">
        <v>162</v>
      </c>
      <c r="D24" s="474">
        <f>SUM(E24:H24)</f>
        <v>0</v>
      </c>
      <c r="E24" s="478"/>
      <c r="F24" s="478"/>
      <c r="G24" s="478"/>
      <c r="H24" s="478"/>
      <c r="I24" s="474">
        <f>SUM(J24:K24)</f>
        <v>0</v>
      </c>
      <c r="J24" s="478"/>
      <c r="K24" s="478"/>
      <c r="L24" s="68"/>
    </row>
    <row r="25" spans="1:12">
      <c r="A25" s="109" t="s">
        <v>554</v>
      </c>
      <c r="B25" s="157" t="s">
        <v>317</v>
      </c>
      <c r="C25" s="109" t="s">
        <v>162</v>
      </c>
      <c r="D25" s="474">
        <f>SUM(E25:H25)</f>
        <v>0</v>
      </c>
      <c r="E25" s="478"/>
      <c r="F25" s="478"/>
      <c r="G25" s="478"/>
      <c r="H25" s="478"/>
      <c r="I25" s="474">
        <f>SUM(J25:K25)</f>
        <v>0</v>
      </c>
      <c r="J25" s="478"/>
      <c r="K25" s="478"/>
      <c r="L25" s="68"/>
    </row>
    <row r="26" spans="1:12">
      <c r="A26" s="109" t="s">
        <v>654</v>
      </c>
      <c r="B26" s="157" t="s">
        <v>649</v>
      </c>
      <c r="C26" s="470" t="s">
        <v>164</v>
      </c>
      <c r="D26" s="474">
        <f>SUM(E26:H26)</f>
        <v>0</v>
      </c>
      <c r="E26" s="478"/>
      <c r="F26" s="478"/>
      <c r="G26" s="478"/>
      <c r="H26" s="478"/>
      <c r="I26" s="474"/>
      <c r="J26" s="478"/>
      <c r="K26" s="478"/>
      <c r="L26" s="68"/>
    </row>
    <row r="27" spans="1:12">
      <c r="A27" s="109" t="s">
        <v>555</v>
      </c>
      <c r="B27" s="157" t="s">
        <v>661</v>
      </c>
      <c r="C27" s="470" t="s">
        <v>7</v>
      </c>
      <c r="D27" s="479">
        <f t="shared" ref="D27:K27" si="2">IF(D16=0,0,IF((1-D17)=0,0,IF(D17=0,0,D19/(D16*(1-D17)/D17+D26))))</f>
        <v>0</v>
      </c>
      <c r="E27" s="479">
        <f t="shared" si="2"/>
        <v>0</v>
      </c>
      <c r="F27" s="479">
        <f t="shared" si="2"/>
        <v>0</v>
      </c>
      <c r="G27" s="479">
        <f t="shared" si="2"/>
        <v>0</v>
      </c>
      <c r="H27" s="479">
        <f t="shared" si="2"/>
        <v>0</v>
      </c>
      <c r="I27" s="479">
        <f t="shared" si="2"/>
        <v>0</v>
      </c>
      <c r="J27" s="479">
        <f t="shared" si="2"/>
        <v>0</v>
      </c>
      <c r="K27" s="479">
        <f t="shared" si="2"/>
        <v>0</v>
      </c>
      <c r="L27" s="68"/>
    </row>
    <row r="28" spans="1:12">
      <c r="A28" s="109">
        <v>4</v>
      </c>
      <c r="B28" s="157" t="s">
        <v>656</v>
      </c>
      <c r="C28" s="470"/>
      <c r="D28" s="159"/>
      <c r="E28" s="109" t="s">
        <v>706</v>
      </c>
      <c r="F28" s="109"/>
      <c r="G28" s="109"/>
      <c r="H28" s="109"/>
      <c r="I28" s="816"/>
      <c r="J28" s="819"/>
      <c r="K28" s="819"/>
      <c r="L28" s="68"/>
    </row>
    <row r="29" spans="1:12">
      <c r="A29" s="109" t="s">
        <v>251</v>
      </c>
      <c r="B29" s="157" t="s">
        <v>665</v>
      </c>
      <c r="C29" s="470" t="s">
        <v>241</v>
      </c>
      <c r="D29" s="474">
        <f>SUM(E29:H29)</f>
        <v>0</v>
      </c>
      <c r="E29" s="475"/>
      <c r="F29" s="475"/>
      <c r="G29" s="475"/>
      <c r="H29" s="475"/>
      <c r="I29" s="817"/>
      <c r="J29" s="820"/>
      <c r="K29" s="820"/>
      <c r="L29" s="68"/>
    </row>
    <row r="30" spans="1:12">
      <c r="A30" s="109" t="s">
        <v>252</v>
      </c>
      <c r="B30" s="157" t="s">
        <v>452</v>
      </c>
      <c r="C30" s="470" t="s">
        <v>240</v>
      </c>
      <c r="D30" s="474">
        <f>SUM(E30:H30)</f>
        <v>0</v>
      </c>
      <c r="E30" s="478"/>
      <c r="F30" s="478"/>
      <c r="G30" s="478"/>
      <c r="H30" s="478"/>
      <c r="I30" s="817"/>
      <c r="J30" s="820"/>
      <c r="K30" s="820"/>
      <c r="L30" s="68"/>
    </row>
    <row r="31" spans="1:12">
      <c r="A31" s="109" t="s">
        <v>556</v>
      </c>
      <c r="B31" s="157" t="s">
        <v>453</v>
      </c>
      <c r="C31" s="470" t="s">
        <v>240</v>
      </c>
      <c r="D31" s="474">
        <f>SUM(E31:H31)</f>
        <v>0</v>
      </c>
      <c r="E31" s="478"/>
      <c r="F31" s="478"/>
      <c r="G31" s="478"/>
      <c r="H31" s="478"/>
      <c r="I31" s="817"/>
      <c r="J31" s="820"/>
      <c r="K31" s="820"/>
      <c r="L31" s="68"/>
    </row>
    <row r="32" spans="1:12">
      <c r="A32" s="109" t="s">
        <v>557</v>
      </c>
      <c r="B32" s="480" t="s">
        <v>455</v>
      </c>
      <c r="C32" s="109" t="s">
        <v>162</v>
      </c>
      <c r="D32" s="474">
        <f>SUM(E32:H32)</f>
        <v>0</v>
      </c>
      <c r="E32" s="478"/>
      <c r="F32" s="478"/>
      <c r="G32" s="478"/>
      <c r="H32" s="478"/>
      <c r="I32" s="817"/>
      <c r="J32" s="820"/>
      <c r="K32" s="820"/>
      <c r="L32" s="68"/>
    </row>
    <row r="33" spans="1:12">
      <c r="A33" s="109" t="s">
        <v>558</v>
      </c>
      <c r="B33" s="480" t="s">
        <v>454</v>
      </c>
      <c r="C33" s="109" t="s">
        <v>162</v>
      </c>
      <c r="D33" s="474">
        <f>SUM(E33:H33)</f>
        <v>0</v>
      </c>
      <c r="E33" s="478"/>
      <c r="F33" s="478"/>
      <c r="G33" s="478"/>
      <c r="H33" s="478"/>
      <c r="I33" s="818"/>
      <c r="J33" s="821"/>
      <c r="K33" s="821"/>
      <c r="L33" s="68"/>
    </row>
    <row r="34" spans="1:12" ht="14.25">
      <c r="A34" s="109" t="s">
        <v>559</v>
      </c>
      <c r="B34" s="471" t="s">
        <v>666</v>
      </c>
      <c r="C34" s="109" t="s">
        <v>595</v>
      </c>
      <c r="D34" s="114">
        <f>IF(D29=0,0,IF(D17=0,0,IF(SUM(D16,D29)=0,0,SUM(D16/D17,D26,-D22,-D30,-D31)/SUM(D16,D29)*1000)))</f>
        <v>0</v>
      </c>
      <c r="E34" s="114">
        <f>IF(E29=0,0,IF(E17=0,0,IF(SUM(E16,E29)=0,0,SUM(E16/E17,E26,-E22,-E30,-E31)/SUM(E16,E29)*1000)))</f>
        <v>0</v>
      </c>
      <c r="F34" s="114">
        <f>IF(F29=0,0,IF(F17=0,0,IF(SUM(F16,F29)=0,0,SUM(F16/F17,F26,-F22,-F30,-F31)/SUM(F16,F29)*1000)))</f>
        <v>0</v>
      </c>
      <c r="G34" s="114">
        <f>IF(G29=0,0,IF(G17=0,0,IF(SUM(G16,G29)=0,0,SUM(G16/G17,G26,-G22,-G30,-G31)/SUM(G16,G29)*1000)))</f>
        <v>0</v>
      </c>
      <c r="H34" s="114">
        <f>IF(H29=0,0,IF(H17=0,0,IF(SUM(H16,H29)=0,0,SUM(H16/H17,H26,-H22,-H30,-H31)/SUM(H16,H29)*1000)))</f>
        <v>0</v>
      </c>
      <c r="I34" s="114">
        <f>IF(I17=0,0,IF(I16=0,0,SUM(I16/I17,I26,-I20,-I21,-I22)*860/I16))</f>
        <v>0</v>
      </c>
      <c r="J34" s="114">
        <f>IF(J17=0,0,IF(J16=0,0,SUM(J16/J17,J26,-J20,-J21,-J22)*860/J16))</f>
        <v>0</v>
      </c>
      <c r="K34" s="114">
        <f>IF(K17=0,0,IF(K16=0,0,SUM(K16/K17,K26,-K20,-K21,-K22)*860/K16))</f>
        <v>0</v>
      </c>
      <c r="L34" s="68"/>
    </row>
    <row r="35" spans="1:12">
      <c r="A35" s="146">
        <v>5</v>
      </c>
      <c r="B35" s="157" t="s">
        <v>388</v>
      </c>
      <c r="C35" s="109" t="s">
        <v>7</v>
      </c>
      <c r="D35" s="160">
        <f>IF(D17=0,0,IF(D29=0,0,IF(SUM(D16/D17,D26)=0,0,SUM(D16,D29,D22,D30:D31)/SUM(D16/D17,D26))))</f>
        <v>0</v>
      </c>
      <c r="E35" s="160">
        <f>IF(E17=0,0,IF(E29=0,0,IF(SUM(E16/E17,E26)=0,0,SUM(E16,E29,E22,E30:E31)/SUM(E16/E17,E26))))</f>
        <v>0</v>
      </c>
      <c r="F35" s="160">
        <f>IF(F17=0,0,IF(F29=0,0,IF(SUM(F16/F17,F26)=0,0,SUM(F16,F29,F22,F30:F31)/SUM(F16/F17,F26))))</f>
        <v>0</v>
      </c>
      <c r="G35" s="160">
        <f>IF(G17=0,0,IF(G29=0,0,IF(SUM(G16/G17,G26)=0,0,SUM(G16,G29,G22,G30:G31)/SUM(G16/G17,G26))))</f>
        <v>0</v>
      </c>
      <c r="H35" s="160">
        <f>IF(H17=0,0,IF(H29=0,0,IF(SUM(H16/H17,H26)=0,0,SUM(H16,H29,H22,H30:H31)/SUM(H16/H17,H26))))</f>
        <v>0</v>
      </c>
      <c r="I35" s="161">
        <f>SUM(I17,I23)</f>
        <v>0</v>
      </c>
      <c r="J35" s="160">
        <f>SUM(J17,J23)</f>
        <v>0</v>
      </c>
      <c r="K35" s="160">
        <f>SUM(K17,K23)</f>
        <v>0</v>
      </c>
      <c r="L35" s="68"/>
    </row>
    <row r="36" spans="1:12">
      <c r="A36" s="109">
        <v>6</v>
      </c>
      <c r="B36" s="157" t="s">
        <v>655</v>
      </c>
      <c r="C36" s="470"/>
      <c r="D36" s="474"/>
      <c r="E36" s="481" t="s">
        <v>456</v>
      </c>
      <c r="F36" s="481" t="s">
        <v>457</v>
      </c>
      <c r="G36" s="481" t="s">
        <v>458</v>
      </c>
      <c r="H36" s="481" t="s">
        <v>650</v>
      </c>
      <c r="L36" s="68"/>
    </row>
    <row r="37" spans="1:12">
      <c r="A37" s="109" t="s">
        <v>500</v>
      </c>
      <c r="B37" s="157" t="s">
        <v>448</v>
      </c>
      <c r="C37" s="470" t="s">
        <v>240</v>
      </c>
      <c r="D37" s="474">
        <f>SUM(E37:H37)</f>
        <v>0</v>
      </c>
      <c r="E37" s="478"/>
      <c r="F37" s="478"/>
      <c r="G37" s="478"/>
      <c r="H37" s="478"/>
      <c r="L37" s="68"/>
    </row>
    <row r="38" spans="1:12">
      <c r="A38" s="109" t="s">
        <v>501</v>
      </c>
      <c r="B38" s="157" t="s">
        <v>449</v>
      </c>
      <c r="C38" s="470" t="s">
        <v>162</v>
      </c>
      <c r="D38" s="474">
        <f>SUM(E38:H38)</f>
        <v>0</v>
      </c>
      <c r="E38" s="478"/>
      <c r="F38" s="478"/>
      <c r="G38" s="478"/>
      <c r="H38" s="478"/>
      <c r="L38" s="68"/>
    </row>
    <row r="39" spans="1:12">
      <c r="A39" s="109" t="s">
        <v>658</v>
      </c>
      <c r="B39" s="482" t="s">
        <v>451</v>
      </c>
      <c r="C39" s="470" t="s">
        <v>7</v>
      </c>
      <c r="D39" s="159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9">
        <v>7</v>
      </c>
      <c r="B40" s="157" t="s">
        <v>657</v>
      </c>
      <c r="C40" s="470"/>
      <c r="D40" s="159"/>
      <c r="E40" s="109" t="s">
        <v>589</v>
      </c>
      <c r="F40" s="109" t="s">
        <v>590</v>
      </c>
      <c r="G40" s="109" t="s">
        <v>591</v>
      </c>
      <c r="H40" s="109" t="s">
        <v>592</v>
      </c>
      <c r="L40" s="68"/>
    </row>
    <row r="41" spans="1:12">
      <c r="A41" s="109" t="s">
        <v>506</v>
      </c>
      <c r="B41" s="482" t="s">
        <v>450</v>
      </c>
      <c r="C41" s="470" t="s">
        <v>241</v>
      </c>
      <c r="D41" s="474">
        <f>SUM(E41:H41)</f>
        <v>0</v>
      </c>
      <c r="E41" s="475"/>
      <c r="F41" s="475"/>
      <c r="G41" s="475"/>
      <c r="H41" s="475"/>
      <c r="L41" s="68"/>
    </row>
    <row r="42" spans="1:12">
      <c r="A42" s="109" t="s">
        <v>507</v>
      </c>
      <c r="B42" s="157" t="s">
        <v>452</v>
      </c>
      <c r="C42" s="470" t="s">
        <v>240</v>
      </c>
      <c r="D42" s="474">
        <f>SUM(E42:H42)</f>
        <v>0</v>
      </c>
      <c r="E42" s="478"/>
      <c r="F42" s="478"/>
      <c r="G42" s="478"/>
      <c r="H42" s="478"/>
      <c r="L42" s="68"/>
    </row>
    <row r="43" spans="1:12">
      <c r="A43" s="109" t="s">
        <v>508</v>
      </c>
      <c r="B43" s="157" t="s">
        <v>453</v>
      </c>
      <c r="C43" s="470" t="s">
        <v>240</v>
      </c>
      <c r="D43" s="474">
        <f>SUM(E43:H43)</f>
        <v>0</v>
      </c>
      <c r="E43" s="478"/>
      <c r="F43" s="478"/>
      <c r="G43" s="478"/>
      <c r="H43" s="478"/>
      <c r="L43" s="68"/>
    </row>
    <row r="44" spans="1:12">
      <c r="A44" s="109" t="s">
        <v>659</v>
      </c>
      <c r="B44" s="480" t="s">
        <v>455</v>
      </c>
      <c r="C44" s="109" t="s">
        <v>162</v>
      </c>
      <c r="D44" s="474">
        <f>SUM(E44:H44)</f>
        <v>0</v>
      </c>
      <c r="E44" s="478"/>
      <c r="F44" s="478"/>
      <c r="G44" s="478"/>
      <c r="H44" s="478"/>
      <c r="L44" s="68"/>
    </row>
    <row r="45" spans="1:12">
      <c r="A45" s="109" t="s">
        <v>660</v>
      </c>
      <c r="B45" s="480" t="s">
        <v>454</v>
      </c>
      <c r="C45" s="109" t="s">
        <v>162</v>
      </c>
      <c r="D45" s="474">
        <f>SUM(E45:H45)</f>
        <v>0</v>
      </c>
      <c r="E45" s="478"/>
      <c r="F45" s="478"/>
      <c r="G45" s="478"/>
      <c r="H45" s="478"/>
      <c r="L45" s="68"/>
    </row>
    <row r="46" spans="1:12" ht="14.25">
      <c r="A46" s="109" t="s">
        <v>667</v>
      </c>
      <c r="B46" s="471" t="s">
        <v>666</v>
      </c>
      <c r="C46" s="109" t="s">
        <v>595</v>
      </c>
      <c r="D46" s="114">
        <f>IF(D41=0,0,IF($D$17=0,0,IF(D39=0,0,SUM($D$16/$D$17,D26,-$D$22,D37/D39,-D42,-D43)*860/SUM($D$16,D41))))</f>
        <v>0</v>
      </c>
      <c r="E46" s="114">
        <f>IF(E41=0,0,IF($E$17=0,0,IF(COUNT($E$37:$H$37)=0,0,IF(E39=0,0,SUM(($E$16/$E$17-$E$22)/COUNT($E$37:$H$37),E37/E39,-E42,-E43)*860/SUM($E$16,E41)))))</f>
        <v>0</v>
      </c>
      <c r="F46" s="114">
        <f>IF(F41=0,0,IF($E$17=0,0,IF(COUNT($E$37:$H$37)=0,0,IF(F39=0,0,SUM(($E$16/$E$17-$E$22)/COUNT($E$37:$H$37),F37/F39,-F42,-F43)*860/SUM($E$16,F41)))))</f>
        <v>0</v>
      </c>
      <c r="G46" s="114">
        <f>IF(G41=0,0,IF($E$17=0,0,IF(COUNT($E$37:$H$37)=0,0,IF(G39=0,0,SUM(($E$16/$E$17-$E$22)/COUNT($E$37:$H$37),G37/G39,-G42,-G43)*860/SUM($E$16,G41)))))</f>
        <v>0</v>
      </c>
      <c r="H46" s="114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9">
        <v>8</v>
      </c>
      <c r="B47" s="157" t="s">
        <v>388</v>
      </c>
      <c r="C47" s="109" t="s">
        <v>7</v>
      </c>
      <c r="D47" s="160">
        <f>IF(D37=0,0,IF(D39=0,0,SUM(D41:D43)/(D37/D39)))</f>
        <v>0</v>
      </c>
      <c r="E47" s="160">
        <f>IF(E37=0,0,IF(E39=0,0,SUM(E41:E43)/(E37/E39)))</f>
        <v>0</v>
      </c>
      <c r="F47" s="160">
        <f>IF(F37=0,0,IF(F39=0,0,SUM(F41:F43)/(F37/F39)))</f>
        <v>0</v>
      </c>
      <c r="G47" s="160">
        <f>IF(G37=0,0,IF(G39=0,0,SUM(G41:G43)/(G37/G39)))</f>
        <v>0</v>
      </c>
      <c r="H47" s="160">
        <f>IF(H37=0,0,IF(H39=0,0,SUM(H41:H43)/(H37/H39)))</f>
        <v>0</v>
      </c>
      <c r="L47" s="68"/>
    </row>
    <row r="48" spans="1:12"/>
    <row r="49" spans="1:12">
      <c r="B49" s="746" t="s">
        <v>596</v>
      </c>
      <c r="C49" s="746"/>
      <c r="D49" s="746"/>
      <c r="E49" s="746"/>
      <c r="F49" s="746"/>
      <c r="G49" s="746"/>
      <c r="H49" s="746"/>
      <c r="I49" s="746"/>
      <c r="J49" s="746"/>
      <c r="K49" s="746"/>
    </row>
    <row r="50" spans="1:12"/>
    <row r="51" spans="1:12">
      <c r="A51" s="155" t="s">
        <v>0</v>
      </c>
      <c r="B51" s="146" t="s">
        <v>461</v>
      </c>
      <c r="C51" s="483"/>
      <c r="D51" s="809" t="s">
        <v>662</v>
      </c>
      <c r="E51" s="809"/>
      <c r="F51" s="809"/>
      <c r="G51" s="809"/>
      <c r="H51" s="809"/>
      <c r="I51" s="809"/>
      <c r="J51" s="809"/>
      <c r="K51" s="809"/>
    </row>
    <row r="52" spans="1:12">
      <c r="A52" s="109">
        <v>3</v>
      </c>
      <c r="B52" s="484" t="s">
        <v>577</v>
      </c>
      <c r="C52" s="109" t="s">
        <v>161</v>
      </c>
      <c r="D52" s="413" t="s">
        <v>152</v>
      </c>
      <c r="E52" s="109" t="s">
        <v>578</v>
      </c>
      <c r="F52" s="109" t="s">
        <v>579</v>
      </c>
      <c r="G52" s="109" t="s">
        <v>580</v>
      </c>
      <c r="H52" s="109" t="s">
        <v>581</v>
      </c>
      <c r="I52" s="109" t="s">
        <v>582</v>
      </c>
      <c r="J52" s="109" t="s">
        <v>583</v>
      </c>
      <c r="K52" s="109" t="s">
        <v>597</v>
      </c>
    </row>
    <row r="53" spans="1:12">
      <c r="A53" s="109" t="s">
        <v>261</v>
      </c>
      <c r="B53" s="471" t="s">
        <v>584</v>
      </c>
      <c r="C53" s="109"/>
      <c r="D53" s="121"/>
      <c r="E53" s="485"/>
      <c r="F53" s="485"/>
      <c r="G53" s="485"/>
      <c r="H53" s="485"/>
      <c r="I53" s="485"/>
      <c r="J53" s="485"/>
      <c r="K53" s="485"/>
    </row>
    <row r="54" spans="1:12">
      <c r="A54" s="109" t="s">
        <v>262</v>
      </c>
      <c r="B54" s="471" t="s">
        <v>585</v>
      </c>
      <c r="C54" s="109" t="s">
        <v>162</v>
      </c>
      <c r="D54" s="353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09" t="s">
        <v>551</v>
      </c>
      <c r="B55" s="471" t="s">
        <v>586</v>
      </c>
      <c r="C55" s="109" t="s">
        <v>46</v>
      </c>
      <c r="D55" s="121"/>
      <c r="E55" s="9"/>
      <c r="F55" s="9"/>
      <c r="G55" s="9"/>
      <c r="H55" s="9"/>
      <c r="I55" s="9"/>
      <c r="J55" s="9"/>
      <c r="K55" s="9"/>
    </row>
    <row r="56" spans="1:12">
      <c r="A56" s="109" t="s">
        <v>599</v>
      </c>
      <c r="B56" s="471" t="s">
        <v>587</v>
      </c>
      <c r="C56" s="109" t="s">
        <v>46</v>
      </c>
      <c r="D56" s="121"/>
      <c r="E56" s="9"/>
      <c r="F56" s="9"/>
      <c r="G56" s="9"/>
      <c r="H56" s="9"/>
      <c r="I56" s="9"/>
      <c r="J56" s="9"/>
      <c r="K56" s="9"/>
    </row>
    <row r="57" spans="1:12">
      <c r="A57" s="109" t="s">
        <v>552</v>
      </c>
      <c r="B57" s="471" t="s">
        <v>163</v>
      </c>
      <c r="C57" s="109" t="s">
        <v>164</v>
      </c>
      <c r="D57" s="353">
        <f>SUM(E57:K57)</f>
        <v>0</v>
      </c>
      <c r="E57" s="413">
        <f t="shared" ref="E57:J57" si="3">ROUND(E54*(E55-E56)/3600,3)</f>
        <v>0</v>
      </c>
      <c r="F57" s="413">
        <f t="shared" si="3"/>
        <v>0</v>
      </c>
      <c r="G57" s="413">
        <f t="shared" si="3"/>
        <v>0</v>
      </c>
      <c r="H57" s="413">
        <f t="shared" si="3"/>
        <v>0</v>
      </c>
      <c r="I57" s="413">
        <f t="shared" si="3"/>
        <v>0</v>
      </c>
      <c r="J57" s="413">
        <f t="shared" si="3"/>
        <v>0</v>
      </c>
      <c r="K57" s="413">
        <f>ROUND(K54*(K55-K56)/3600,3)</f>
        <v>0</v>
      </c>
    </row>
    <row r="58" spans="1:12">
      <c r="A58" s="109" t="s">
        <v>553</v>
      </c>
      <c r="B58" s="472" t="s">
        <v>314</v>
      </c>
      <c r="C58" s="109" t="s">
        <v>240</v>
      </c>
      <c r="D58" s="353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09" t="s">
        <v>554</v>
      </c>
      <c r="B59" s="157" t="s">
        <v>378</v>
      </c>
      <c r="C59" s="109" t="s">
        <v>7</v>
      </c>
      <c r="D59" s="159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09">
        <v>4</v>
      </c>
      <c r="B60" s="484" t="s">
        <v>588</v>
      </c>
      <c r="C60" s="109"/>
      <c r="D60" s="121"/>
      <c r="E60" s="109" t="s">
        <v>589</v>
      </c>
      <c r="F60" s="109" t="s">
        <v>590</v>
      </c>
      <c r="G60" s="109" t="s">
        <v>591</v>
      </c>
      <c r="H60" s="109" t="s">
        <v>592</v>
      </c>
      <c r="I60" s="109" t="s">
        <v>593</v>
      </c>
      <c r="J60" s="109" t="s">
        <v>594</v>
      </c>
      <c r="K60" s="109" t="s">
        <v>598</v>
      </c>
    </row>
    <row r="61" spans="1:12">
      <c r="A61" s="109" t="s">
        <v>251</v>
      </c>
      <c r="B61" s="471" t="s">
        <v>584</v>
      </c>
      <c r="C61" s="113"/>
      <c r="D61" s="121"/>
      <c r="E61" s="486"/>
      <c r="F61" s="487"/>
      <c r="G61" s="487"/>
      <c r="H61" s="487"/>
      <c r="I61" s="487"/>
      <c r="J61" s="487"/>
      <c r="K61" s="487"/>
    </row>
    <row r="62" spans="1:12">
      <c r="A62" s="109" t="s">
        <v>252</v>
      </c>
      <c r="B62" s="482" t="s">
        <v>450</v>
      </c>
      <c r="C62" s="470" t="s">
        <v>241</v>
      </c>
      <c r="D62" s="474">
        <f>SUM(E62:G62)</f>
        <v>0</v>
      </c>
      <c r="E62" s="475"/>
      <c r="F62" s="475"/>
      <c r="G62" s="475"/>
      <c r="H62" s="475"/>
      <c r="I62" s="475"/>
      <c r="J62" s="475"/>
      <c r="K62" s="475"/>
      <c r="L62" s="68"/>
    </row>
    <row r="63" spans="1:12">
      <c r="A63" s="109" t="s">
        <v>556</v>
      </c>
      <c r="B63" s="157" t="s">
        <v>452</v>
      </c>
      <c r="C63" s="470" t="s">
        <v>240</v>
      </c>
      <c r="D63" s="474">
        <f>SUM(E63:G63)</f>
        <v>0</v>
      </c>
      <c r="E63" s="478"/>
      <c r="F63" s="478"/>
      <c r="G63" s="478"/>
      <c r="H63" s="478"/>
      <c r="I63" s="478"/>
      <c r="J63" s="478"/>
      <c r="K63" s="478"/>
      <c r="L63" s="68"/>
    </row>
    <row r="64" spans="1:12">
      <c r="A64" s="109" t="s">
        <v>557</v>
      </c>
      <c r="B64" s="157" t="s">
        <v>453</v>
      </c>
      <c r="C64" s="470" t="s">
        <v>240</v>
      </c>
      <c r="D64" s="474">
        <f>SUM(E64:G64)</f>
        <v>0</v>
      </c>
      <c r="E64" s="478"/>
      <c r="F64" s="478"/>
      <c r="G64" s="478"/>
      <c r="H64" s="478"/>
      <c r="I64" s="478"/>
      <c r="J64" s="478"/>
      <c r="K64" s="478"/>
      <c r="L64" s="68"/>
    </row>
    <row r="65" spans="1:12">
      <c r="A65" s="109" t="s">
        <v>558</v>
      </c>
      <c r="B65" s="480" t="s">
        <v>455</v>
      </c>
      <c r="C65" s="109" t="s">
        <v>162</v>
      </c>
      <c r="D65" s="474">
        <f>SUM(E65:G65)</f>
        <v>0</v>
      </c>
      <c r="E65" s="478"/>
      <c r="F65" s="478"/>
      <c r="G65" s="478"/>
      <c r="H65" s="478"/>
      <c r="I65" s="478"/>
      <c r="J65" s="478"/>
      <c r="K65" s="478"/>
      <c r="L65" s="68"/>
    </row>
    <row r="66" spans="1:12">
      <c r="A66" s="109" t="s">
        <v>559</v>
      </c>
      <c r="B66" s="480" t="s">
        <v>454</v>
      </c>
      <c r="C66" s="109" t="s">
        <v>162</v>
      </c>
      <c r="D66" s="474">
        <f>SUM(E66:G66)</f>
        <v>0</v>
      </c>
      <c r="E66" s="478"/>
      <c r="F66" s="478"/>
      <c r="G66" s="478"/>
      <c r="H66" s="478"/>
      <c r="I66" s="478"/>
      <c r="J66" s="478"/>
      <c r="K66" s="478"/>
      <c r="L66" s="68"/>
    </row>
    <row r="67" spans="1:12" ht="14.25">
      <c r="A67" s="109" t="s">
        <v>560</v>
      </c>
      <c r="B67" s="471" t="s">
        <v>666</v>
      </c>
      <c r="C67" s="109" t="s">
        <v>595</v>
      </c>
      <c r="D67" s="121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09">
        <v>5</v>
      </c>
      <c r="B68" s="157" t="s">
        <v>388</v>
      </c>
      <c r="C68" s="109" t="s">
        <v>7</v>
      </c>
      <c r="D68" s="160">
        <f>IF(D59=0,0,IF(D58=0,0,SUM(D62:D64)/(D58/D59)))</f>
        <v>0</v>
      </c>
      <c r="E68" s="160">
        <f t="shared" ref="E68:K68" si="4">IF(E59=0,0,IF(E58=0,0,SUM(E62:E64)/(E58/E59)))</f>
        <v>0</v>
      </c>
      <c r="F68" s="160">
        <f t="shared" si="4"/>
        <v>0</v>
      </c>
      <c r="G68" s="160">
        <f t="shared" si="4"/>
        <v>0</v>
      </c>
      <c r="H68" s="160">
        <f t="shared" si="4"/>
        <v>0</v>
      </c>
      <c r="I68" s="160">
        <f t="shared" si="4"/>
        <v>0</v>
      </c>
      <c r="J68" s="160">
        <f t="shared" si="4"/>
        <v>0</v>
      </c>
      <c r="K68" s="160">
        <f t="shared" si="4"/>
        <v>0</v>
      </c>
      <c r="L68" s="68"/>
    </row>
    <row r="69" spans="1:12"/>
    <row r="70" spans="1:12">
      <c r="B70" s="488"/>
      <c r="K70" s="489"/>
    </row>
    <row r="71" spans="1:12">
      <c r="B71" s="488"/>
      <c r="F71" s="490"/>
      <c r="G71" s="491"/>
      <c r="H71" s="492"/>
      <c r="I71" s="493"/>
      <c r="J71" s="494"/>
      <c r="K71" s="493"/>
    </row>
    <row r="72" spans="1:12" customFormat="1">
      <c r="B72" s="488"/>
      <c r="K72" s="500"/>
    </row>
    <row r="73" spans="1:12">
      <c r="B73" s="488"/>
      <c r="F73" s="490"/>
      <c r="G73" s="368"/>
      <c r="J73" s="494"/>
      <c r="K73" s="489"/>
    </row>
    <row r="74" spans="1:12">
      <c r="B74" s="495"/>
      <c r="K74" s="498"/>
    </row>
    <row r="75" spans="1:12">
      <c r="B75" s="495"/>
      <c r="K75" s="498"/>
    </row>
    <row r="76" spans="1:12">
      <c r="B76" s="495"/>
      <c r="K76" s="498"/>
    </row>
    <row r="77" spans="1:12"/>
    <row r="78" spans="1:12">
      <c r="B78" s="135" t="str">
        <f>'[1]Разходи-Произв.'!$A$79</f>
        <v>Гл. счетоводител:</v>
      </c>
      <c r="G78" s="496" t="str">
        <f>'[1]Разходи-Произв.'!$E$79</f>
        <v>Изп. директор:</v>
      </c>
      <c r="I78" s="204"/>
      <c r="J78" s="204"/>
    </row>
    <row r="79" spans="1:12">
      <c r="C79" s="497" t="str">
        <f>Разходи!$B$93</f>
        <v>М.Тодорова</v>
      </c>
      <c r="G79" s="204"/>
      <c r="H79" s="204" t="str">
        <f>Разходи!$F$93</f>
        <v>Т.Йорданов</v>
      </c>
      <c r="I79" s="204"/>
      <c r="J79" s="204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12" sqref="A12:C12"/>
    </sheetView>
  </sheetViews>
  <sheetFormatPr defaultColWidth="0" defaultRowHeight="12.75" customHeight="1" zeroHeight="1"/>
  <cols>
    <col min="1" max="1" width="3.5703125" style="105" customWidth="1"/>
    <col min="2" max="2" width="28.5703125" style="105" customWidth="1"/>
    <col min="3" max="3" width="7.85546875" style="105" customWidth="1"/>
    <col min="4" max="10" width="9.5703125" style="105" customWidth="1"/>
    <col min="11" max="12" width="8.5703125" style="105" customWidth="1"/>
    <col min="13" max="13" width="8.85546875" style="105" customWidth="1"/>
    <col min="14" max="16384" width="8.85546875" style="105" hidden="1"/>
  </cols>
  <sheetData>
    <row r="1" spans="1:12" ht="12.75" customHeight="1">
      <c r="A1" s="104">
        <v>2</v>
      </c>
      <c r="B1" s="827" t="s">
        <v>695</v>
      </c>
      <c r="C1" s="827"/>
      <c r="D1" s="827"/>
      <c r="E1" s="827"/>
      <c r="F1" s="827"/>
      <c r="G1" s="827"/>
      <c r="H1" s="827"/>
      <c r="I1" s="827"/>
      <c r="J1" s="827"/>
      <c r="K1" s="106"/>
      <c r="L1" s="135" t="s">
        <v>696</v>
      </c>
    </row>
    <row r="2" spans="1:12" ht="12.75" customHeight="1">
      <c r="B2" s="827" t="str">
        <f>'ТИП-ПРОИЗ'!B3</f>
        <v>Инертстрой Калето АД</v>
      </c>
      <c r="C2" s="827"/>
      <c r="D2" s="827"/>
      <c r="E2" s="827"/>
      <c r="F2" s="827"/>
      <c r="G2" s="827"/>
      <c r="H2" s="827"/>
      <c r="I2" s="827"/>
      <c r="J2" s="827"/>
      <c r="K2" s="106"/>
      <c r="L2" s="106"/>
    </row>
    <row r="3" spans="1:12" ht="12.75" customHeight="1"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ht="12.75" customHeight="1">
      <c r="B4" s="747" t="s">
        <v>565</v>
      </c>
      <c r="C4" s="747"/>
      <c r="D4" s="747"/>
      <c r="E4" s="747"/>
      <c r="F4" s="747"/>
      <c r="G4" s="747"/>
      <c r="H4" s="747"/>
      <c r="I4" s="747"/>
      <c r="J4" s="747"/>
      <c r="K4" s="106"/>
      <c r="L4" s="106"/>
    </row>
    <row r="5" spans="1:12"/>
    <row r="6" spans="1:12">
      <c r="A6" s="828">
        <f>'ТИП-ПРОИЗ'!$B$5</f>
        <v>7.2020999999999997</v>
      </c>
      <c r="B6" s="828"/>
      <c r="C6" s="828"/>
      <c r="D6" s="826" t="s">
        <v>382</v>
      </c>
      <c r="E6" s="826"/>
      <c r="F6" s="826"/>
      <c r="G6" s="826"/>
      <c r="H6" s="826"/>
      <c r="I6" s="826"/>
      <c r="J6" s="826"/>
      <c r="K6" s="826"/>
      <c r="L6" s="826"/>
    </row>
    <row r="7" spans="1:12">
      <c r="A7" s="144">
        <v>1</v>
      </c>
      <c r="B7" s="145" t="s">
        <v>255</v>
      </c>
      <c r="C7" s="146" t="s">
        <v>380</v>
      </c>
      <c r="D7" s="104" t="s">
        <v>152</v>
      </c>
      <c r="E7" s="144" t="s">
        <v>165</v>
      </c>
      <c r="F7" s="144" t="s">
        <v>166</v>
      </c>
      <c r="G7" s="144" t="s">
        <v>167</v>
      </c>
      <c r="H7" s="144" t="s">
        <v>209</v>
      </c>
      <c r="I7" s="144" t="s">
        <v>210</v>
      </c>
      <c r="J7" s="144" t="s">
        <v>211</v>
      </c>
      <c r="K7" s="144" t="s">
        <v>381</v>
      </c>
      <c r="L7" s="144" t="s">
        <v>575</v>
      </c>
    </row>
    <row r="8" spans="1:12">
      <c r="A8" s="147" t="s">
        <v>256</v>
      </c>
      <c r="B8" s="148">
        <f>'ТИП-ПРОИЗ'!E6</f>
        <v>2019.9999999999995</v>
      </c>
      <c r="C8" s="147" t="s">
        <v>379</v>
      </c>
      <c r="D8" s="149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7" t="s">
        <v>257</v>
      </c>
      <c r="B9" s="150" t="s">
        <v>314</v>
      </c>
      <c r="C9" s="147" t="s">
        <v>240</v>
      </c>
      <c r="D9" s="149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7" t="s">
        <v>258</v>
      </c>
      <c r="B10" s="151" t="s">
        <v>378</v>
      </c>
      <c r="C10" s="147" t="s">
        <v>7</v>
      </c>
      <c r="D10" s="152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5">
        <f>'ТИП-ПРОИЗ'!E6</f>
        <v>2019.9999999999995</v>
      </c>
      <c r="B12" s="825"/>
      <c r="C12" s="825"/>
      <c r="D12" s="826" t="s">
        <v>685</v>
      </c>
      <c r="E12" s="826"/>
      <c r="F12" s="826"/>
      <c r="G12" s="826"/>
      <c r="H12" s="826"/>
      <c r="I12" s="826"/>
      <c r="J12" s="826"/>
      <c r="K12" s="826"/>
      <c r="L12" s="826"/>
    </row>
    <row r="13" spans="1:12">
      <c r="A13" s="144">
        <v>1</v>
      </c>
      <c r="B13" s="145" t="s">
        <v>255</v>
      </c>
      <c r="C13" s="146" t="s">
        <v>380</v>
      </c>
      <c r="D13" s="104" t="s">
        <v>152</v>
      </c>
      <c r="E13" s="144" t="s">
        <v>165</v>
      </c>
      <c r="F13" s="144" t="s">
        <v>166</v>
      </c>
      <c r="G13" s="144" t="s">
        <v>167</v>
      </c>
      <c r="H13" s="144" t="s">
        <v>209</v>
      </c>
      <c r="I13" s="144" t="s">
        <v>210</v>
      </c>
      <c r="J13" s="144" t="s">
        <v>211</v>
      </c>
      <c r="K13" s="144" t="s">
        <v>381</v>
      </c>
      <c r="L13" s="144" t="s">
        <v>575</v>
      </c>
    </row>
    <row r="14" spans="1:12">
      <c r="A14" s="147" t="s">
        <v>256</v>
      </c>
      <c r="B14" s="150" t="s">
        <v>686</v>
      </c>
      <c r="C14" s="147" t="s">
        <v>687</v>
      </c>
      <c r="D14" s="506"/>
      <c r="E14" s="43"/>
      <c r="F14" s="43"/>
      <c r="G14" s="43"/>
      <c r="H14" s="43"/>
      <c r="I14" s="43"/>
      <c r="J14" s="43"/>
      <c r="K14" s="43"/>
      <c r="L14" s="43"/>
    </row>
    <row r="15" spans="1:12">
      <c r="A15" s="147" t="s">
        <v>257</v>
      </c>
      <c r="B15" s="150" t="s">
        <v>688</v>
      </c>
      <c r="C15" s="147" t="s">
        <v>70</v>
      </c>
      <c r="D15" s="149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7" t="s">
        <v>258</v>
      </c>
      <c r="B16" s="151" t="s">
        <v>243</v>
      </c>
      <c r="C16" s="147" t="s">
        <v>7</v>
      </c>
      <c r="D16" s="152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7" t="s">
        <v>566</v>
      </c>
      <c r="C18" s="827"/>
      <c r="D18" s="827"/>
      <c r="E18" s="827"/>
      <c r="F18" s="827"/>
      <c r="G18" s="827"/>
      <c r="H18" s="827"/>
      <c r="I18" s="827"/>
      <c r="J18" s="827"/>
      <c r="K18" s="508"/>
      <c r="L18" s="508"/>
    </row>
    <row r="19" spans="1:12"/>
    <row r="20" spans="1:12">
      <c r="A20" s="828">
        <f>'ТИП-ПРОИЗ'!$B$5</f>
        <v>7.2020999999999997</v>
      </c>
      <c r="B20" s="828"/>
      <c r="C20" s="828"/>
      <c r="D20" s="826" t="s">
        <v>561</v>
      </c>
      <c r="E20" s="826"/>
      <c r="F20" s="826"/>
      <c r="G20" s="826"/>
      <c r="H20" s="826"/>
      <c r="I20" s="826"/>
      <c r="J20" s="826"/>
      <c r="K20" s="826"/>
      <c r="L20" s="826"/>
    </row>
    <row r="21" spans="1:12">
      <c r="A21" s="144">
        <v>2</v>
      </c>
      <c r="B21" s="145" t="s">
        <v>574</v>
      </c>
      <c r="C21" s="146" t="s">
        <v>380</v>
      </c>
      <c r="D21" s="104" t="s">
        <v>152</v>
      </c>
      <c r="E21" s="144" t="s">
        <v>567</v>
      </c>
      <c r="F21" s="144" t="s">
        <v>568</v>
      </c>
      <c r="G21" s="144" t="s">
        <v>569</v>
      </c>
      <c r="H21" s="144" t="s">
        <v>570</v>
      </c>
      <c r="I21" s="144" t="s">
        <v>571</v>
      </c>
      <c r="J21" s="144" t="s">
        <v>572</v>
      </c>
      <c r="K21" s="144" t="s">
        <v>573</v>
      </c>
      <c r="L21" s="144" t="s">
        <v>576</v>
      </c>
    </row>
    <row r="22" spans="1:12">
      <c r="A22" s="147" t="s">
        <v>272</v>
      </c>
      <c r="B22" s="148">
        <f>B8</f>
        <v>2019.9999999999995</v>
      </c>
      <c r="C22" s="147" t="s">
        <v>379</v>
      </c>
      <c r="D22" s="149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7" t="s">
        <v>273</v>
      </c>
      <c r="B23" s="153" t="s">
        <v>562</v>
      </c>
      <c r="C23" s="147" t="s">
        <v>162</v>
      </c>
      <c r="D23" s="149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7" t="s">
        <v>276</v>
      </c>
      <c r="B24" s="153" t="s">
        <v>563</v>
      </c>
      <c r="C24" s="147" t="s">
        <v>564</v>
      </c>
      <c r="D24" s="149"/>
      <c r="E24" s="55"/>
      <c r="F24" s="55"/>
      <c r="G24" s="55"/>
      <c r="H24" s="55"/>
      <c r="I24" s="55"/>
      <c r="J24" s="55"/>
      <c r="K24" s="55"/>
      <c r="L24" s="55"/>
    </row>
    <row r="25" spans="1:12">
      <c r="A25" s="147" t="s">
        <v>274</v>
      </c>
      <c r="B25" s="150" t="s">
        <v>314</v>
      </c>
      <c r="C25" s="147" t="s">
        <v>240</v>
      </c>
      <c r="D25" s="149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7" t="s">
        <v>275</v>
      </c>
      <c r="B26" s="151" t="s">
        <v>378</v>
      </c>
      <c r="C26" s="147" t="s">
        <v>7</v>
      </c>
      <c r="D26" s="152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5">
        <f>A12</f>
        <v>2019.9999999999995</v>
      </c>
      <c r="B28" s="825"/>
      <c r="C28" s="825"/>
      <c r="D28" s="826" t="s">
        <v>689</v>
      </c>
      <c r="E28" s="826"/>
      <c r="F28" s="826"/>
      <c r="G28" s="826"/>
      <c r="H28" s="826"/>
      <c r="I28" s="826"/>
      <c r="J28" s="826"/>
      <c r="K28" s="826"/>
      <c r="L28" s="826"/>
    </row>
    <row r="29" spans="1:12">
      <c r="A29" s="144">
        <v>2</v>
      </c>
      <c r="B29" s="145" t="s">
        <v>574</v>
      </c>
      <c r="C29" s="146" t="s">
        <v>380</v>
      </c>
      <c r="D29" s="104" t="s">
        <v>152</v>
      </c>
      <c r="E29" s="144" t="s">
        <v>567</v>
      </c>
      <c r="F29" s="144" t="s">
        <v>568</v>
      </c>
      <c r="G29" s="144" t="s">
        <v>569</v>
      </c>
      <c r="H29" s="144" t="s">
        <v>570</v>
      </c>
      <c r="I29" s="144" t="s">
        <v>571</v>
      </c>
      <c r="J29" s="144" t="s">
        <v>572</v>
      </c>
      <c r="K29" s="144" t="s">
        <v>573</v>
      </c>
      <c r="L29" s="144" t="s">
        <v>576</v>
      </c>
    </row>
    <row r="30" spans="1:12">
      <c r="A30" s="147" t="s">
        <v>272</v>
      </c>
      <c r="B30" s="150" t="s">
        <v>686</v>
      </c>
      <c r="C30" s="147" t="s">
        <v>687</v>
      </c>
      <c r="D30" s="506"/>
      <c r="E30" s="43"/>
      <c r="F30" s="43"/>
      <c r="G30" s="43"/>
      <c r="H30" s="43"/>
      <c r="I30" s="43"/>
      <c r="J30" s="43"/>
      <c r="K30" s="43"/>
      <c r="L30" s="43"/>
    </row>
    <row r="31" spans="1:12">
      <c r="A31" s="147" t="s">
        <v>273</v>
      </c>
      <c r="B31" s="153" t="s">
        <v>692</v>
      </c>
      <c r="C31" s="147" t="s">
        <v>23</v>
      </c>
      <c r="D31" s="149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7" t="s">
        <v>276</v>
      </c>
      <c r="B32" s="153" t="s">
        <v>693</v>
      </c>
      <c r="C32" s="147" t="s">
        <v>162</v>
      </c>
      <c r="D32" s="149">
        <f>IF(D30=0,0,D31/D30)</f>
        <v>0</v>
      </c>
      <c r="E32" s="149">
        <f t="shared" ref="E32:L32" si="0">IF(E30=0,0,E31/E30)</f>
        <v>0</v>
      </c>
      <c r="F32" s="149">
        <f t="shared" si="0"/>
        <v>0</v>
      </c>
      <c r="G32" s="149">
        <f t="shared" si="0"/>
        <v>0</v>
      </c>
      <c r="H32" s="149">
        <f t="shared" si="0"/>
        <v>0</v>
      </c>
      <c r="I32" s="149">
        <f t="shared" si="0"/>
        <v>0</v>
      </c>
      <c r="J32" s="149">
        <f t="shared" si="0"/>
        <v>0</v>
      </c>
      <c r="K32" s="149">
        <f t="shared" si="0"/>
        <v>0</v>
      </c>
      <c r="L32" s="149">
        <f t="shared" si="0"/>
        <v>0</v>
      </c>
    </row>
    <row r="33" spans="1:12">
      <c r="A33" s="147" t="s">
        <v>274</v>
      </c>
      <c r="B33" s="153" t="s">
        <v>691</v>
      </c>
      <c r="C33" s="147" t="s">
        <v>564</v>
      </c>
      <c r="D33" s="149"/>
      <c r="E33" s="55"/>
      <c r="F33" s="55"/>
      <c r="G33" s="55"/>
      <c r="H33" s="55"/>
      <c r="I33" s="55"/>
      <c r="J33" s="55"/>
      <c r="K33" s="55"/>
      <c r="L33" s="55"/>
    </row>
    <row r="34" spans="1:12">
      <c r="A34" s="147" t="s">
        <v>275</v>
      </c>
      <c r="B34" s="150" t="s">
        <v>688</v>
      </c>
      <c r="C34" s="147" t="s">
        <v>70</v>
      </c>
      <c r="D34" s="149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7" t="s">
        <v>690</v>
      </c>
      <c r="B35" s="151" t="s">
        <v>243</v>
      </c>
      <c r="C35" s="147" t="s">
        <v>7</v>
      </c>
      <c r="D35" s="152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1" t="s">
        <v>694</v>
      </c>
      <c r="C37" s="147" t="s">
        <v>7</v>
      </c>
      <c r="D37" s="152">
        <f>IF(SUM(D15,D34)=0,0,SUM(D15*D16,D34*D35)/SUM(D15,D34))</f>
        <v>0</v>
      </c>
      <c r="E37" s="507">
        <f>SUM(D37,-F37)</f>
        <v>0</v>
      </c>
      <c r="F37" s="499">
        <f>'ТИП-ПРОИЗ'!E57</f>
        <v>0</v>
      </c>
    </row>
    <row r="38" spans="1:12"/>
    <row r="39" spans="1:12"/>
    <row r="40" spans="1:12">
      <c r="B40" s="135" t="str">
        <f>'[1]Разходи-Произв.'!$A$79</f>
        <v>Гл. счетоводител:</v>
      </c>
      <c r="G40" s="136" t="str">
        <f>'[1]Разходи-Произв.'!$E$79</f>
        <v>Изп. директор:</v>
      </c>
      <c r="I40" s="137"/>
      <c r="J40" s="137"/>
    </row>
    <row r="41" spans="1:12">
      <c r="A41" s="134"/>
      <c r="C41" s="138" t="str">
        <f>Разходи!$B$93</f>
        <v>М.Тодорова</v>
      </c>
      <c r="G41" s="137"/>
      <c r="H41" s="139" t="str">
        <f>Разходи!$F$93</f>
        <v>Т.Йорданов</v>
      </c>
      <c r="I41" s="139"/>
      <c r="J41" s="139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2021-03-31T10:24:59Z</cp:lastPrinted>
  <dcterms:created xsi:type="dcterms:W3CDTF">2002-07-02T13:08:08Z</dcterms:created>
  <dcterms:modified xsi:type="dcterms:W3CDTF">2021-03-31T13:57:53Z</dcterms:modified>
</cp:coreProperties>
</file>